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55" windowHeight="7935" activeTab="2"/>
  </bookViews>
  <sheets>
    <sheet name="St of Net Assets" sheetId="9" r:id="rId1"/>
    <sheet name="St of Act-Rev" sheetId="8" r:id="rId2"/>
    <sheet name="St of Act-Exp" sheetId="7" r:id="rId3"/>
    <sheet name="GenBS" sheetId="6" r:id="rId4"/>
    <sheet name="GenRev" sheetId="5" r:id="rId5"/>
    <sheet name="GenExp" sheetId="4" r:id="rId6"/>
    <sheet name="GovBS" sheetId="1" r:id="rId7"/>
    <sheet name="GovRev" sheetId="2" r:id="rId8"/>
    <sheet name="GovExp" sheetId="11" r:id="rId9"/>
    <sheet name="LT_Ob" sheetId="10" r:id="rId10"/>
  </sheets>
  <definedNames>
    <definedName name="_xlnm.Print_Area" localSheetId="8">GovExp!$A$1:$BX$135</definedName>
    <definedName name="_xlnm.Print_Area" localSheetId="2">'St of Act-Exp'!$A$1:$BG$133</definedName>
    <definedName name="_xlnm.Print_Titles" localSheetId="3">GenBS!$1:$10</definedName>
    <definedName name="_xlnm.Print_Titles" localSheetId="5">GenExp!$1:$11</definedName>
    <definedName name="_xlnm.Print_Titles" localSheetId="4">GenRev!$1:$10</definedName>
    <definedName name="_xlnm.Print_Titles" localSheetId="6">GovBS!$1:$10</definedName>
    <definedName name="_xlnm.Print_Titles" localSheetId="8">GovExp!$1:$10</definedName>
    <definedName name="_xlnm.Print_Titles" localSheetId="7">GovRev!$1:$10</definedName>
    <definedName name="_xlnm.Print_Titles" localSheetId="9">LT_Ob!$1:$10</definedName>
    <definedName name="_xlnm.Print_Titles" localSheetId="2">'St of Act-Exp'!$1:$11</definedName>
    <definedName name="_xlnm.Print_Titles" localSheetId="1">'St of Act-Rev'!$1:$14</definedName>
    <definedName name="_xlnm.Print_Titles" localSheetId="0">'St of Net Assets'!$1:$11</definedName>
  </definedNames>
  <calcPr calcId="125725"/>
</workbook>
</file>

<file path=xl/calcChain.xml><?xml version="1.0" encoding="utf-8"?>
<calcChain xmlns="http://schemas.openxmlformats.org/spreadsheetml/2006/main">
  <c r="S12" i="10"/>
  <c r="X12"/>
  <c r="G13"/>
  <c r="S13" s="1"/>
  <c r="X13"/>
  <c r="S14"/>
  <c r="X14"/>
  <c r="S15"/>
  <c r="X15"/>
  <c r="S16"/>
  <c r="X16"/>
  <c r="S17"/>
  <c r="X17"/>
  <c r="S18"/>
  <c r="X18"/>
  <c r="S19"/>
  <c r="X19"/>
  <c r="S20"/>
  <c r="X20"/>
  <c r="S21"/>
  <c r="X21"/>
  <c r="G22"/>
  <c r="S22"/>
  <c r="X22"/>
  <c r="S23"/>
  <c r="X23"/>
  <c r="S24"/>
  <c r="X24"/>
  <c r="S25"/>
  <c r="X25"/>
  <c r="S26"/>
  <c r="X26"/>
  <c r="S27"/>
  <c r="X27"/>
  <c r="S28"/>
  <c r="X28"/>
  <c r="S29"/>
  <c r="X29"/>
  <c r="S30"/>
  <c r="X30"/>
  <c r="S31"/>
  <c r="X31"/>
  <c r="S32"/>
  <c r="X32"/>
  <c r="S33"/>
  <c r="X33"/>
  <c r="S34"/>
  <c r="X34"/>
  <c r="S35"/>
  <c r="X35"/>
  <c r="S36"/>
  <c r="X36"/>
  <c r="S37"/>
  <c r="X37"/>
  <c r="O38"/>
  <c r="S38"/>
  <c r="X38"/>
  <c r="S39"/>
  <c r="X39"/>
  <c r="S40"/>
  <c r="X40"/>
  <c r="S41"/>
  <c r="X41"/>
  <c r="G42"/>
  <c r="S42" s="1"/>
  <c r="X42"/>
  <c r="S43"/>
  <c r="X43"/>
  <c r="S44"/>
  <c r="X44"/>
  <c r="G45"/>
  <c r="S45"/>
  <c r="X45"/>
  <c r="O46"/>
  <c r="S46" s="1"/>
  <c r="U46"/>
  <c r="X46" s="1"/>
  <c r="S47"/>
  <c r="X47"/>
  <c r="S48"/>
  <c r="X48"/>
  <c r="S49"/>
  <c r="X49"/>
  <c r="S50"/>
  <c r="X50"/>
  <c r="S51"/>
  <c r="X51"/>
  <c r="G52"/>
  <c r="S52" s="1"/>
  <c r="X52"/>
  <c r="O53"/>
  <c r="S53"/>
  <c r="U53"/>
  <c r="X53"/>
  <c r="M54"/>
  <c r="O54"/>
  <c r="S54" s="1"/>
  <c r="U54"/>
  <c r="X54" s="1"/>
  <c r="O55"/>
  <c r="S55" s="1"/>
  <c r="U55"/>
  <c r="X55" s="1"/>
  <c r="S56"/>
  <c r="X56"/>
  <c r="S57"/>
  <c r="X57"/>
  <c r="S58"/>
  <c r="X58"/>
  <c r="S59"/>
  <c r="X59"/>
  <c r="G60"/>
  <c r="S60"/>
  <c r="X60"/>
  <c r="M61"/>
  <c r="O61"/>
  <c r="S61"/>
  <c r="U61"/>
  <c r="X61"/>
  <c r="O62"/>
  <c r="S62"/>
  <c r="X62"/>
  <c r="BC12" i="11"/>
  <c r="BP12" s="1"/>
  <c r="BR12" s="1"/>
  <c r="BX12" s="1"/>
  <c r="BZ12" s="1"/>
  <c r="M13"/>
  <c r="BC13"/>
  <c r="BP13" s="1"/>
  <c r="BR13" s="1"/>
  <c r="BX13" s="1"/>
  <c r="BZ13" s="1"/>
  <c r="M14"/>
  <c r="BC14"/>
  <c r="BP14" s="1"/>
  <c r="BR14" s="1"/>
  <c r="BX14" s="1"/>
  <c r="BZ14" s="1"/>
  <c r="BC15"/>
  <c r="BP15"/>
  <c r="BR15" s="1"/>
  <c r="BX15" s="1"/>
  <c r="BZ15" s="1"/>
  <c r="BC16"/>
  <c r="BP16" s="1"/>
  <c r="BR16" s="1"/>
  <c r="BX16" s="1"/>
  <c r="BZ16" s="1"/>
  <c r="BC17"/>
  <c r="BP17"/>
  <c r="BR17" s="1"/>
  <c r="BX17" s="1"/>
  <c r="BZ17" s="1"/>
  <c r="BC18"/>
  <c r="BP18" s="1"/>
  <c r="BR18" s="1"/>
  <c r="BX18" s="1"/>
  <c r="BZ18" s="1"/>
  <c r="BC19"/>
  <c r="BP19"/>
  <c r="BR19" s="1"/>
  <c r="BX19" s="1"/>
  <c r="BZ19" s="1"/>
  <c r="BC20"/>
  <c r="BP20" s="1"/>
  <c r="BR20" s="1"/>
  <c r="BX20" s="1"/>
  <c r="BZ20" s="1"/>
  <c r="BC21"/>
  <c r="BP21"/>
  <c r="BR21" s="1"/>
  <c r="BX21" s="1"/>
  <c r="BZ21" s="1"/>
  <c r="AY22"/>
  <c r="BC22" s="1"/>
  <c r="BP22" s="1"/>
  <c r="BR22" s="1"/>
  <c r="BX22" s="1"/>
  <c r="BZ22" s="1"/>
  <c r="BC23"/>
  <c r="BP23" s="1"/>
  <c r="BR23" s="1"/>
  <c r="BX23" s="1"/>
  <c r="BZ23" s="1"/>
  <c r="BC24"/>
  <c r="BP24"/>
  <c r="BR24" s="1"/>
  <c r="BX24" s="1"/>
  <c r="BZ24" s="1"/>
  <c r="BC25"/>
  <c r="BP25" s="1"/>
  <c r="BR25" s="1"/>
  <c r="BX25" s="1"/>
  <c r="BZ25" s="1"/>
  <c r="BC26"/>
  <c r="BP26"/>
  <c r="BR26" s="1"/>
  <c r="BX26" s="1"/>
  <c r="BZ26" s="1"/>
  <c r="BC27"/>
  <c r="BP27" s="1"/>
  <c r="BR27" s="1"/>
  <c r="BX27" s="1"/>
  <c r="BZ27" s="1"/>
  <c r="BC28"/>
  <c r="BP28"/>
  <c r="BR28" s="1"/>
  <c r="BX28" s="1"/>
  <c r="BZ28" s="1"/>
  <c r="AY29"/>
  <c r="BC29" s="1"/>
  <c r="BP29" s="1"/>
  <c r="BR29" s="1"/>
  <c r="BX29" s="1"/>
  <c r="BZ29" s="1"/>
  <c r="BC30"/>
  <c r="BP30" s="1"/>
  <c r="BR30" s="1"/>
  <c r="BX30" s="1"/>
  <c r="BZ30" s="1"/>
  <c r="BC31"/>
  <c r="BP31"/>
  <c r="BR31" s="1"/>
  <c r="BX31" s="1"/>
  <c r="BZ31" s="1"/>
  <c r="BC32"/>
  <c r="BP32" s="1"/>
  <c r="BR32" s="1"/>
  <c r="BX32" s="1"/>
  <c r="BZ32" s="1"/>
  <c r="BC33"/>
  <c r="BP33"/>
  <c r="BR33" s="1"/>
  <c r="BX33" s="1"/>
  <c r="BZ33" s="1"/>
  <c r="BC34"/>
  <c r="BP34" s="1"/>
  <c r="BR34" s="1"/>
  <c r="BX34" s="1"/>
  <c r="BZ34" s="1"/>
  <c r="BC35"/>
  <c r="BP35"/>
  <c r="BR35" s="1"/>
  <c r="BX35" s="1"/>
  <c r="BZ35" s="1"/>
  <c r="BC36"/>
  <c r="BN36"/>
  <c r="BP36"/>
  <c r="BR36" s="1"/>
  <c r="BX36" s="1"/>
  <c r="BZ36" s="1"/>
  <c r="BC37"/>
  <c r="BP37" s="1"/>
  <c r="BR37" s="1"/>
  <c r="BX37" s="1"/>
  <c r="BZ37" s="1"/>
  <c r="BC38"/>
  <c r="BP38"/>
  <c r="BR38" s="1"/>
  <c r="BX38" s="1"/>
  <c r="BZ38" s="1"/>
  <c r="BC39"/>
  <c r="BP39" s="1"/>
  <c r="BR39" s="1"/>
  <c r="BX39" s="1"/>
  <c r="BZ39" s="1"/>
  <c r="BC40"/>
  <c r="BP40"/>
  <c r="BR40" s="1"/>
  <c r="BX40" s="1"/>
  <c r="BZ40" s="1"/>
  <c r="BC41"/>
  <c r="BP41" s="1"/>
  <c r="BR41" s="1"/>
  <c r="BX41" s="1"/>
  <c r="BZ41" s="1"/>
  <c r="AS42"/>
  <c r="BC42"/>
  <c r="BP42" s="1"/>
  <c r="BR42" s="1"/>
  <c r="BX42" s="1"/>
  <c r="BZ42" s="1"/>
  <c r="BC43"/>
  <c r="BP43"/>
  <c r="BR43" s="1"/>
  <c r="BX43" s="1"/>
  <c r="BZ43" s="1"/>
  <c r="BC44"/>
  <c r="BP44" s="1"/>
  <c r="BR44" s="1"/>
  <c r="BX44" s="1"/>
  <c r="BZ44" s="1"/>
  <c r="AS45"/>
  <c r="AY45"/>
  <c r="BC45" s="1"/>
  <c r="BP45" s="1"/>
  <c r="BR45" s="1"/>
  <c r="BX45" s="1"/>
  <c r="BZ45" s="1"/>
  <c r="BC46"/>
  <c r="BP46" s="1"/>
  <c r="BR46" s="1"/>
  <c r="BX46" s="1"/>
  <c r="BZ46" s="1"/>
  <c r="M47"/>
  <c r="BC47"/>
  <c r="BP47" s="1"/>
  <c r="BR47" s="1"/>
  <c r="BX47" s="1"/>
  <c r="BZ47" s="1"/>
  <c r="BC48"/>
  <c r="BP48"/>
  <c r="BR48" s="1"/>
  <c r="BX48" s="1"/>
  <c r="BZ48" s="1"/>
  <c r="BC49"/>
  <c r="BP49" s="1"/>
  <c r="BR49" s="1"/>
  <c r="BX49" s="1"/>
  <c r="BZ49" s="1"/>
  <c r="BC50"/>
  <c r="BP50"/>
  <c r="BR50" s="1"/>
  <c r="BX50" s="1"/>
  <c r="BZ50" s="1"/>
  <c r="M51"/>
  <c r="BC51" s="1"/>
  <c r="BP51" s="1"/>
  <c r="BR51" s="1"/>
  <c r="BX51" s="1"/>
  <c r="BZ51" s="1"/>
  <c r="M52"/>
  <c r="BC52" s="1"/>
  <c r="BP52" s="1"/>
  <c r="BR52" s="1"/>
  <c r="BX52" s="1"/>
  <c r="BZ52" s="1"/>
  <c r="BC53"/>
  <c r="BP53" s="1"/>
  <c r="BR53" s="1"/>
  <c r="BX53" s="1"/>
  <c r="BZ53" s="1"/>
  <c r="BC54"/>
  <c r="BP54"/>
  <c r="BR54" s="1"/>
  <c r="BX54" s="1"/>
  <c r="BZ54" s="1"/>
  <c r="BC55"/>
  <c r="BP55" s="1"/>
  <c r="BR55" s="1"/>
  <c r="BX55" s="1"/>
  <c r="BZ55" s="1"/>
  <c r="BC56"/>
  <c r="BP56"/>
  <c r="BR56" s="1"/>
  <c r="BX56" s="1"/>
  <c r="BZ56" s="1"/>
  <c r="M57"/>
  <c r="BC57" s="1"/>
  <c r="BP57" s="1"/>
  <c r="BR57" s="1"/>
  <c r="BX57" s="1"/>
  <c r="BZ57" s="1"/>
  <c r="BC58"/>
  <c r="BP58" s="1"/>
  <c r="BR58" s="1"/>
  <c r="BX58" s="1"/>
  <c r="BZ58" s="1"/>
  <c r="BC59"/>
  <c r="BP59"/>
  <c r="BR59" s="1"/>
  <c r="BX59" s="1"/>
  <c r="BZ59" s="1"/>
  <c r="BC60"/>
  <c r="BP60" s="1"/>
  <c r="BR60" s="1"/>
  <c r="BX60" s="1"/>
  <c r="BZ60" s="1"/>
  <c r="BT60"/>
  <c r="BC61"/>
  <c r="BP61" s="1"/>
  <c r="BR61" s="1"/>
  <c r="BX61" s="1"/>
  <c r="BZ61" s="1"/>
  <c r="BC62"/>
  <c r="BP62"/>
  <c r="BR62" s="1"/>
  <c r="BX62" s="1"/>
  <c r="BZ62" s="1"/>
  <c r="W12" i="2"/>
  <c r="Y12"/>
  <c r="AV12"/>
  <c r="AX12"/>
  <c r="W13"/>
  <c r="Y13"/>
  <c r="AV13"/>
  <c r="AX13"/>
  <c r="W14"/>
  <c r="Y14"/>
  <c r="AV14"/>
  <c r="AX14"/>
  <c r="W15"/>
  <c r="Y15"/>
  <c r="AV15"/>
  <c r="AX15"/>
  <c r="W16"/>
  <c r="Y16"/>
  <c r="AV16"/>
  <c r="AX16"/>
  <c r="Y17"/>
  <c r="AV17"/>
  <c r="AX17" s="1"/>
  <c r="Y18"/>
  <c r="AV18"/>
  <c r="AX18"/>
  <c r="Y19"/>
  <c r="AV19"/>
  <c r="AX19" s="1"/>
  <c r="Y20"/>
  <c r="AV20"/>
  <c r="AX20"/>
  <c r="Y21"/>
  <c r="AV21"/>
  <c r="AX21" s="1"/>
  <c r="G22"/>
  <c r="W22"/>
  <c r="Y22"/>
  <c r="AH22"/>
  <c r="AV22"/>
  <c r="AX22" s="1"/>
  <c r="Y23"/>
  <c r="AV23"/>
  <c r="AX23"/>
  <c r="Y24"/>
  <c r="AV24"/>
  <c r="AX24" s="1"/>
  <c r="Y25"/>
  <c r="AV25"/>
  <c r="AX25"/>
  <c r="W26"/>
  <c r="Y26"/>
  <c r="AV26"/>
  <c r="AX26"/>
  <c r="Y27"/>
  <c r="AV27"/>
  <c r="AX27" s="1"/>
  <c r="Y28"/>
  <c r="AV28"/>
  <c r="AX28"/>
  <c r="W29"/>
  <c r="Y29"/>
  <c r="AH29"/>
  <c r="AV29"/>
  <c r="AX29" s="1"/>
  <c r="Y30"/>
  <c r="AV30"/>
  <c r="AX30"/>
  <c r="Y31"/>
  <c r="AV31"/>
  <c r="AX31" s="1"/>
  <c r="Y32"/>
  <c r="AV32"/>
  <c r="AX32"/>
  <c r="W33"/>
  <c r="Y33"/>
  <c r="AV33"/>
  <c r="AX33"/>
  <c r="Y34"/>
  <c r="AV34"/>
  <c r="AX34" s="1"/>
  <c r="W35"/>
  <c r="Y35" s="1"/>
  <c r="AV35"/>
  <c r="W36"/>
  <c r="Y36" s="1"/>
  <c r="AV36"/>
  <c r="W37"/>
  <c r="Y37" s="1"/>
  <c r="AV37"/>
  <c r="W38"/>
  <c r="Y38" s="1"/>
  <c r="AV38"/>
  <c r="W39"/>
  <c r="Y39" s="1"/>
  <c r="AV39"/>
  <c r="W40"/>
  <c r="Y40" s="1"/>
  <c r="AV40"/>
  <c r="Y41"/>
  <c r="AV41"/>
  <c r="AX41"/>
  <c r="K42"/>
  <c r="W42"/>
  <c r="Y42" s="1"/>
  <c r="AV42"/>
  <c r="W43"/>
  <c r="Y43" s="1"/>
  <c r="AV43"/>
  <c r="W44"/>
  <c r="Y44" s="1"/>
  <c r="AV44"/>
  <c r="K45"/>
  <c r="W45"/>
  <c r="Y45"/>
  <c r="AV45"/>
  <c r="AX45"/>
  <c r="Y46"/>
  <c r="AV46"/>
  <c r="AX46" s="1"/>
  <c r="W47"/>
  <c r="Y47" s="1"/>
  <c r="AV47"/>
  <c r="AX47" s="1"/>
  <c r="W48"/>
  <c r="Y48" s="1"/>
  <c r="AV48"/>
  <c r="AX48" s="1"/>
  <c r="W49"/>
  <c r="Y49" s="1"/>
  <c r="AV49"/>
  <c r="AX49" s="1"/>
  <c r="W50"/>
  <c r="Y50" s="1"/>
  <c r="AV50"/>
  <c r="AX50" s="1"/>
  <c r="K51"/>
  <c r="W51"/>
  <c r="Y51"/>
  <c r="AV51"/>
  <c r="AX51"/>
  <c r="W52"/>
  <c r="Y52"/>
  <c r="AV52"/>
  <c r="AX52"/>
  <c r="W53"/>
  <c r="Y53"/>
  <c r="AV53"/>
  <c r="AX53"/>
  <c r="W54"/>
  <c r="Y54"/>
  <c r="AV54"/>
  <c r="AX54"/>
  <c r="K55"/>
  <c r="W55"/>
  <c r="Y55" s="1"/>
  <c r="AV55"/>
  <c r="AX55" s="1"/>
  <c r="W56"/>
  <c r="Y56" s="1"/>
  <c r="AV56"/>
  <c r="AX56" s="1"/>
  <c r="W57"/>
  <c r="Y57" s="1"/>
  <c r="AV57"/>
  <c r="AX57" s="1"/>
  <c r="W58"/>
  <c r="Y58" s="1"/>
  <c r="AV58"/>
  <c r="AX58" s="1"/>
  <c r="K59"/>
  <c r="W59"/>
  <c r="Y59"/>
  <c r="AV59"/>
  <c r="AX59"/>
  <c r="W60"/>
  <c r="Y60"/>
  <c r="AV60"/>
  <c r="AX60"/>
  <c r="W61"/>
  <c r="Y61"/>
  <c r="AV61"/>
  <c r="AX61"/>
  <c r="W62"/>
  <c r="Y62"/>
  <c r="AR62"/>
  <c r="AV62"/>
  <c r="AX62" s="1"/>
  <c r="BI14" i="7"/>
  <c r="BC29"/>
  <c r="BC62"/>
  <c r="BG62" s="1"/>
  <c r="BI62" s="1"/>
  <c r="BC63"/>
  <c r="BG63" s="1"/>
  <c r="BI63" s="1"/>
  <c r="BC14"/>
  <c r="BA15"/>
  <c r="BC15" s="1"/>
  <c r="BG15" s="1"/>
  <c r="BI15" s="1"/>
  <c r="BA16"/>
  <c r="BC16" s="1"/>
  <c r="BG16" s="1"/>
  <c r="BI16" s="1"/>
  <c r="BA17"/>
  <c r="BC17" s="1"/>
  <c r="BG17" s="1"/>
  <c r="BI17" s="1"/>
  <c r="BA18"/>
  <c r="BC18" s="1"/>
  <c r="BG18" s="1"/>
  <c r="BI18" s="1"/>
  <c r="BA19"/>
  <c r="BC19" s="1"/>
  <c r="BG19" s="1"/>
  <c r="BI19" s="1"/>
  <c r="BA20"/>
  <c r="BC20" s="1"/>
  <c r="BG20" s="1"/>
  <c r="BI20" s="1"/>
  <c r="BA21"/>
  <c r="BC21" s="1"/>
  <c r="BG21" s="1"/>
  <c r="BI21" s="1"/>
  <c r="BA22"/>
  <c r="BC22" s="1"/>
  <c r="BG22" s="1"/>
  <c r="BI22" s="1"/>
  <c r="BA23"/>
  <c r="BC23" s="1"/>
  <c r="BG23" s="1"/>
  <c r="BI23" s="1"/>
  <c r="BA24"/>
  <c r="BC24" s="1"/>
  <c r="BG24" s="1"/>
  <c r="BI24" s="1"/>
  <c r="BA25"/>
  <c r="BC25" s="1"/>
  <c r="BG25" s="1"/>
  <c r="BI25" s="1"/>
  <c r="BA26"/>
  <c r="BC26" s="1"/>
  <c r="BG26" s="1"/>
  <c r="BI26" s="1"/>
  <c r="BA27"/>
  <c r="BC27" s="1"/>
  <c r="BG27" s="1"/>
  <c r="BI27" s="1"/>
  <c r="BA28"/>
  <c r="BC28" s="1"/>
  <c r="BG28" s="1"/>
  <c r="BI28" s="1"/>
  <c r="BA29"/>
  <c r="BA30"/>
  <c r="BC30" s="1"/>
  <c r="BG30" s="1"/>
  <c r="BI30" s="1"/>
  <c r="BA31"/>
  <c r="BC31" s="1"/>
  <c r="BG31" s="1"/>
  <c r="BI31" s="1"/>
  <c r="BA32"/>
  <c r="BC32" s="1"/>
  <c r="BG32" s="1"/>
  <c r="BI32" s="1"/>
  <c r="BA33"/>
  <c r="BC33" s="1"/>
  <c r="BG33" s="1"/>
  <c r="BI33" s="1"/>
  <c r="BA34"/>
  <c r="BC34" s="1"/>
  <c r="BG34" s="1"/>
  <c r="BI34" s="1"/>
  <c r="BA35"/>
  <c r="BC35" s="1"/>
  <c r="BG35" s="1"/>
  <c r="BI35" s="1"/>
  <c r="BA36"/>
  <c r="BC36" s="1"/>
  <c r="BG36" s="1"/>
  <c r="BI36" s="1"/>
  <c r="BA37"/>
  <c r="BC37" s="1"/>
  <c r="BG37" s="1"/>
  <c r="BI37" s="1"/>
  <c r="BA38"/>
  <c r="BC38" s="1"/>
  <c r="BG38" s="1"/>
  <c r="BI38" s="1"/>
  <c r="BA39"/>
  <c r="BC39" s="1"/>
  <c r="BG39" s="1"/>
  <c r="BI39" s="1"/>
  <c r="BA40"/>
  <c r="BC40" s="1"/>
  <c r="BG40" s="1"/>
  <c r="BI40" s="1"/>
  <c r="BA41"/>
  <c r="BC41" s="1"/>
  <c r="BG41" s="1"/>
  <c r="BI41" s="1"/>
  <c r="BA42"/>
  <c r="BC42" s="1"/>
  <c r="BG42" s="1"/>
  <c r="BI42" s="1"/>
  <c r="BA43"/>
  <c r="BC43" s="1"/>
  <c r="BG43" s="1"/>
  <c r="BI43" s="1"/>
  <c r="BA44"/>
  <c r="BC44" s="1"/>
  <c r="BG44" s="1"/>
  <c r="BI44" s="1"/>
  <c r="BA45"/>
  <c r="BC45" s="1"/>
  <c r="BG45" s="1"/>
  <c r="BI45" s="1"/>
  <c r="BA46"/>
  <c r="BC46" s="1"/>
  <c r="BG46" s="1"/>
  <c r="BI46" s="1"/>
  <c r="BA47"/>
  <c r="BC47" s="1"/>
  <c r="BG47" s="1"/>
  <c r="BI47" s="1"/>
  <c r="BA48"/>
  <c r="BC48" s="1"/>
  <c r="BG48" s="1"/>
  <c r="BI48" s="1"/>
  <c r="BA49"/>
  <c r="BC49" s="1"/>
  <c r="BG49" s="1"/>
  <c r="BI49" s="1"/>
  <c r="BA50"/>
  <c r="BC50" s="1"/>
  <c r="BG50" s="1"/>
  <c r="BI50" s="1"/>
  <c r="BA51"/>
  <c r="BC51" s="1"/>
  <c r="BG51" s="1"/>
  <c r="BI51" s="1"/>
  <c r="BA52"/>
  <c r="BC52" s="1"/>
  <c r="BG52" s="1"/>
  <c r="BI52" s="1"/>
  <c r="BA53"/>
  <c r="BC53" s="1"/>
  <c r="BG53" s="1"/>
  <c r="BI53" s="1"/>
  <c r="BA54"/>
  <c r="BC54" s="1"/>
  <c r="BG54" s="1"/>
  <c r="BI54" s="1"/>
  <c r="BA55"/>
  <c r="BC55" s="1"/>
  <c r="BG55" s="1"/>
  <c r="BI55" s="1"/>
  <c r="BA56"/>
  <c r="BC56" s="1"/>
  <c r="BG56" s="1"/>
  <c r="BI56" s="1"/>
  <c r="BA57"/>
  <c r="BC57" s="1"/>
  <c r="BG57" s="1"/>
  <c r="BI57" s="1"/>
  <c r="BA58"/>
  <c r="BC58" s="1"/>
  <c r="BG58" s="1"/>
  <c r="BI58" s="1"/>
  <c r="BA59"/>
  <c r="BC59" s="1"/>
  <c r="BG59" s="1"/>
  <c r="BI59" s="1"/>
  <c r="BA60"/>
  <c r="BC60" s="1"/>
  <c r="BG60" s="1"/>
  <c r="BI60" s="1"/>
  <c r="BA61"/>
  <c r="BC61" s="1"/>
  <c r="BG61" s="1"/>
  <c r="BI61" s="1"/>
  <c r="BA62"/>
  <c r="BA63"/>
  <c r="BA64"/>
  <c r="BC64" s="1"/>
  <c r="BG64" s="1"/>
  <c r="BI64" s="1"/>
  <c r="BA14"/>
  <c r="AO63"/>
  <c r="AO62"/>
  <c r="AO61"/>
  <c r="AO57"/>
  <c r="AO56"/>
  <c r="AO55"/>
  <c r="AO48"/>
  <c r="AO40"/>
  <c r="AY14"/>
  <c r="M59"/>
  <c r="M54"/>
  <c r="M53"/>
  <c r="M49"/>
  <c r="M47"/>
  <c r="M43"/>
  <c r="M16"/>
  <c r="M15"/>
  <c r="BG29"/>
  <c r="BI29" s="1"/>
  <c r="BG14"/>
  <c r="AX44" i="2" l="1"/>
  <c r="AX43"/>
  <c r="AX42"/>
  <c r="AX40"/>
  <c r="AX39"/>
  <c r="AX38"/>
  <c r="AX37"/>
  <c r="AX36"/>
  <c r="AX35"/>
  <c r="K12" i="1"/>
  <c r="O12"/>
  <c r="AA12"/>
  <c r="AC12" s="1"/>
  <c r="AE12"/>
  <c r="K13"/>
  <c r="O13"/>
  <c r="W13"/>
  <c r="AA13"/>
  <c r="AC13"/>
  <c r="AE13"/>
  <c r="K14"/>
  <c r="O14"/>
  <c r="W14"/>
  <c r="AA14"/>
  <c r="AC14"/>
  <c r="AE14"/>
  <c r="G15"/>
  <c r="K15"/>
  <c r="O15"/>
  <c r="W15"/>
  <c r="AA15"/>
  <c r="AC15" s="1"/>
  <c r="AE15"/>
  <c r="K16"/>
  <c r="O16"/>
  <c r="W16"/>
  <c r="AA16"/>
  <c r="AC16" s="1"/>
  <c r="AE16"/>
  <c r="K17"/>
  <c r="O17"/>
  <c r="AC17"/>
  <c r="AE17"/>
  <c r="K18"/>
  <c r="O18"/>
  <c r="AC18"/>
  <c r="AE18"/>
  <c r="K19"/>
  <c r="O19"/>
  <c r="AC19"/>
  <c r="AE19"/>
  <c r="K20"/>
  <c r="O20"/>
  <c r="AC20"/>
  <c r="AE20"/>
  <c r="K21"/>
  <c r="O21"/>
  <c r="AC21"/>
  <c r="AE21"/>
  <c r="G22"/>
  <c r="K22"/>
  <c r="AE22" s="1"/>
  <c r="O22"/>
  <c r="W22"/>
  <c r="AA22"/>
  <c r="AC22"/>
  <c r="K23"/>
  <c r="AE23" s="1"/>
  <c r="O23"/>
  <c r="AC23"/>
  <c r="K24"/>
  <c r="AE24" s="1"/>
  <c r="O24"/>
  <c r="AC24"/>
  <c r="K25"/>
  <c r="AE25" s="1"/>
  <c r="O25"/>
  <c r="AC25"/>
  <c r="K26"/>
  <c r="AE26" s="1"/>
  <c r="O26"/>
  <c r="W26"/>
  <c r="AA26"/>
  <c r="AC26"/>
  <c r="K27"/>
  <c r="AE27" s="1"/>
  <c r="O27"/>
  <c r="AC27"/>
  <c r="K28"/>
  <c r="AE28" s="1"/>
  <c r="O28"/>
  <c r="AC28"/>
  <c r="K29"/>
  <c r="AE29" s="1"/>
  <c r="O29"/>
  <c r="W29"/>
  <c r="AA29"/>
  <c r="AC29"/>
  <c r="K30"/>
  <c r="AE30" s="1"/>
  <c r="O30"/>
  <c r="AC30"/>
  <c r="K31"/>
  <c r="AE31" s="1"/>
  <c r="O31"/>
  <c r="AC31"/>
  <c r="K32"/>
  <c r="AE32" s="1"/>
  <c r="O32"/>
  <c r="AC32"/>
  <c r="K33"/>
  <c r="AE33" s="1"/>
  <c r="O33"/>
  <c r="W33"/>
  <c r="AA33"/>
  <c r="AC33"/>
  <c r="K34"/>
  <c r="AE34" s="1"/>
  <c r="O34"/>
  <c r="AC34"/>
  <c r="K35"/>
  <c r="AE35" s="1"/>
  <c r="O35"/>
  <c r="W35"/>
  <c r="AA35"/>
  <c r="AC35"/>
  <c r="K36"/>
  <c r="AE36" s="1"/>
  <c r="O36"/>
  <c r="W36"/>
  <c r="AA36"/>
  <c r="AC36"/>
  <c r="K37"/>
  <c r="AE37" s="1"/>
  <c r="O37"/>
  <c r="W37"/>
  <c r="AA37"/>
  <c r="AC37"/>
  <c r="K38"/>
  <c r="AE38" s="1"/>
  <c r="O38"/>
  <c r="W38"/>
  <c r="AA38"/>
  <c r="AC38"/>
  <c r="K39"/>
  <c r="AE39" s="1"/>
  <c r="O39"/>
  <c r="W39"/>
  <c r="AA39"/>
  <c r="AC39"/>
  <c r="K40"/>
  <c r="AE40" s="1"/>
  <c r="O40"/>
  <c r="W40"/>
  <c r="AA40"/>
  <c r="AC40"/>
  <c r="K41"/>
  <c r="AE41" s="1"/>
  <c r="O41"/>
  <c r="AC41"/>
  <c r="K42"/>
  <c r="AE42" s="1"/>
  <c r="O42"/>
  <c r="W42"/>
  <c r="AA42"/>
  <c r="AC42"/>
  <c r="K43"/>
  <c r="AE43" s="1"/>
  <c r="O43"/>
  <c r="W43"/>
  <c r="AA43"/>
  <c r="AC43"/>
  <c r="I44"/>
  <c r="K44" s="1"/>
  <c r="AE44" s="1"/>
  <c r="O44"/>
  <c r="W44"/>
  <c r="AA44"/>
  <c r="AC44" s="1"/>
  <c r="K45"/>
  <c r="O45"/>
  <c r="AE45" s="1"/>
  <c r="Q45"/>
  <c r="W45"/>
  <c r="AA45"/>
  <c r="AC45"/>
  <c r="K46"/>
  <c r="AE46" s="1"/>
  <c r="O46"/>
  <c r="W46"/>
  <c r="AA46"/>
  <c r="AC46"/>
  <c r="K47"/>
  <c r="AE47" s="1"/>
  <c r="O47"/>
  <c r="W47"/>
  <c r="AA47"/>
  <c r="AC47"/>
  <c r="K48"/>
  <c r="AE48" s="1"/>
  <c r="O48"/>
  <c r="W48"/>
  <c r="AA48"/>
  <c r="AC48"/>
  <c r="I49"/>
  <c r="K49" s="1"/>
  <c r="AE49" s="1"/>
  <c r="O49"/>
  <c r="W49"/>
  <c r="AA49"/>
  <c r="AC49" s="1"/>
  <c r="K50"/>
  <c r="O50"/>
  <c r="W50"/>
  <c r="AA50"/>
  <c r="AC50" s="1"/>
  <c r="AE50"/>
  <c r="K51"/>
  <c r="O51"/>
  <c r="AE51" s="1"/>
  <c r="Q51"/>
  <c r="W51"/>
  <c r="AA51"/>
  <c r="AC51"/>
  <c r="K52"/>
  <c r="AE52" s="1"/>
  <c r="O52"/>
  <c r="W52"/>
  <c r="AA52"/>
  <c r="AC52"/>
  <c r="K53"/>
  <c r="AE53" s="1"/>
  <c r="O53"/>
  <c r="W53"/>
  <c r="AA53"/>
  <c r="AC53"/>
  <c r="K54"/>
  <c r="AE54" s="1"/>
  <c r="O54"/>
  <c r="W54"/>
  <c r="AA54"/>
  <c r="AC54"/>
  <c r="K55"/>
  <c r="Q55"/>
  <c r="O55" s="1"/>
  <c r="AE55" s="1"/>
  <c r="W55"/>
  <c r="AA55"/>
  <c r="AC55" s="1"/>
  <c r="K56"/>
  <c r="O56"/>
  <c r="W56"/>
  <c r="AA56"/>
  <c r="AC56" s="1"/>
  <c r="AE56"/>
  <c r="K57"/>
  <c r="O57"/>
  <c r="W57"/>
  <c r="AA57"/>
  <c r="AC57" s="1"/>
  <c r="AE57"/>
  <c r="K58"/>
  <c r="O58"/>
  <c r="W58"/>
  <c r="AA58"/>
  <c r="AC58" s="1"/>
  <c r="AE58"/>
  <c r="K59"/>
  <c r="O59"/>
  <c r="AE59" s="1"/>
  <c r="Q59"/>
  <c r="W59"/>
  <c r="AA59"/>
  <c r="AC59"/>
  <c r="K60"/>
  <c r="AE60" s="1"/>
  <c r="O60"/>
  <c r="W60"/>
  <c r="AA60"/>
  <c r="AC60"/>
  <c r="I61"/>
  <c r="K61" s="1"/>
  <c r="O61"/>
  <c r="W61"/>
  <c r="Y61"/>
  <c r="AA61"/>
  <c r="AC61"/>
  <c r="K62"/>
  <c r="AE62" s="1"/>
  <c r="O62"/>
  <c r="W62"/>
  <c r="AA62"/>
  <c r="AC62"/>
  <c r="AZ13" i="4"/>
  <c r="BN13" s="1"/>
  <c r="BP13" s="1"/>
  <c r="BX13" s="1"/>
  <c r="BZ13" s="1"/>
  <c r="BV13"/>
  <c r="M14"/>
  <c r="AZ14" s="1"/>
  <c r="BN14" s="1"/>
  <c r="BP14" s="1"/>
  <c r="BX14" s="1"/>
  <c r="BZ14" s="1"/>
  <c r="BV14"/>
  <c r="AZ15"/>
  <c r="BN15"/>
  <c r="BP15" s="1"/>
  <c r="BX15" s="1"/>
  <c r="BZ15" s="1"/>
  <c r="BV15"/>
  <c r="AZ16"/>
  <c r="BN16"/>
  <c r="BP16" s="1"/>
  <c r="BX16" s="1"/>
  <c r="BZ16" s="1"/>
  <c r="BV16"/>
  <c r="AZ17"/>
  <c r="BN17"/>
  <c r="BP17" s="1"/>
  <c r="BX17" s="1"/>
  <c r="BZ17" s="1"/>
  <c r="BV17"/>
  <c r="AZ18"/>
  <c r="BN18"/>
  <c r="BP18" s="1"/>
  <c r="BX18" s="1"/>
  <c r="BZ18" s="1"/>
  <c r="BV18"/>
  <c r="AZ19"/>
  <c r="BN19"/>
  <c r="BP19" s="1"/>
  <c r="BX19" s="1"/>
  <c r="BZ19" s="1"/>
  <c r="BV19"/>
  <c r="AZ20"/>
  <c r="BN20"/>
  <c r="BP20" s="1"/>
  <c r="BX20" s="1"/>
  <c r="BZ20" s="1"/>
  <c r="BV20"/>
  <c r="AZ21"/>
  <c r="BN21"/>
  <c r="BP21" s="1"/>
  <c r="BX21" s="1"/>
  <c r="BZ21" s="1"/>
  <c r="BV21"/>
  <c r="AZ22"/>
  <c r="BN22"/>
  <c r="BP22" s="1"/>
  <c r="BX22" s="1"/>
  <c r="BZ22" s="1"/>
  <c r="BV22"/>
  <c r="AZ23"/>
  <c r="BN23"/>
  <c r="BP23" s="1"/>
  <c r="BX23" s="1"/>
  <c r="BZ23" s="1"/>
  <c r="BV23"/>
  <c r="AZ24"/>
  <c r="BN24"/>
  <c r="BP24" s="1"/>
  <c r="BX24" s="1"/>
  <c r="BZ24" s="1"/>
  <c r="BV24"/>
  <c r="AZ25"/>
  <c r="BN25"/>
  <c r="BP25" s="1"/>
  <c r="BX25" s="1"/>
  <c r="BZ25" s="1"/>
  <c r="BV25"/>
  <c r="AZ26"/>
  <c r="BN26"/>
  <c r="BP26" s="1"/>
  <c r="BX26" s="1"/>
  <c r="BZ26" s="1"/>
  <c r="BV26"/>
  <c r="AZ27"/>
  <c r="BN27" s="1"/>
  <c r="BP27" s="1"/>
  <c r="BX27" s="1"/>
  <c r="BZ27" s="1"/>
  <c r="BV27"/>
  <c r="AZ28"/>
  <c r="BN28" s="1"/>
  <c r="BP28" s="1"/>
  <c r="BX28" s="1"/>
  <c r="BZ28" s="1"/>
  <c r="BV28"/>
  <c r="AZ29"/>
  <c r="BN29" s="1"/>
  <c r="BP29" s="1"/>
  <c r="BX29" s="1"/>
  <c r="BZ29" s="1"/>
  <c r="BV29"/>
  <c r="AZ30"/>
  <c r="BN30" s="1"/>
  <c r="BP30" s="1"/>
  <c r="BX30" s="1"/>
  <c r="BZ30" s="1"/>
  <c r="BV30"/>
  <c r="AZ31"/>
  <c r="BN31" s="1"/>
  <c r="BP31" s="1"/>
  <c r="BX31" s="1"/>
  <c r="BZ31" s="1"/>
  <c r="BV31"/>
  <c r="AZ32"/>
  <c r="BN32" s="1"/>
  <c r="BP32" s="1"/>
  <c r="BX32" s="1"/>
  <c r="BZ32" s="1"/>
  <c r="BV32"/>
  <c r="AZ33"/>
  <c r="BN33" s="1"/>
  <c r="BP33" s="1"/>
  <c r="BX33" s="1"/>
  <c r="BZ33" s="1"/>
  <c r="BV33"/>
  <c r="AZ34"/>
  <c r="BN34" s="1"/>
  <c r="BP34" s="1"/>
  <c r="BX34" s="1"/>
  <c r="BZ34" s="1"/>
  <c r="BV34"/>
  <c r="AZ35"/>
  <c r="BN35" s="1"/>
  <c r="BP35" s="1"/>
  <c r="BX35" s="1"/>
  <c r="BZ35" s="1"/>
  <c r="BV35"/>
  <c r="AZ36"/>
  <c r="BN36" s="1"/>
  <c r="BP36" s="1"/>
  <c r="BX36" s="1"/>
  <c r="BZ36" s="1"/>
  <c r="BV36"/>
  <c r="AZ37"/>
  <c r="BN37" s="1"/>
  <c r="BP37" s="1"/>
  <c r="BX37" s="1"/>
  <c r="BZ37" s="1"/>
  <c r="BV37"/>
  <c r="AZ38"/>
  <c r="BN38" s="1"/>
  <c r="BP38" s="1"/>
  <c r="BX38" s="1"/>
  <c r="BZ38" s="1"/>
  <c r="BV38"/>
  <c r="AZ39"/>
  <c r="BN39" s="1"/>
  <c r="BP39" s="1"/>
  <c r="BX39" s="1"/>
  <c r="BZ39" s="1"/>
  <c r="BV39"/>
  <c r="AZ40"/>
  <c r="BN40" s="1"/>
  <c r="BP40" s="1"/>
  <c r="BX40" s="1"/>
  <c r="BZ40" s="1"/>
  <c r="BV40"/>
  <c r="AZ41"/>
  <c r="BN41" s="1"/>
  <c r="BP41" s="1"/>
  <c r="BX41" s="1"/>
  <c r="BZ41" s="1"/>
  <c r="BV41"/>
  <c r="AZ42"/>
  <c r="BN42" s="1"/>
  <c r="BP42" s="1"/>
  <c r="BX42" s="1"/>
  <c r="BZ42" s="1"/>
  <c r="BV42"/>
  <c r="AZ43"/>
  <c r="BN43" s="1"/>
  <c r="BP43" s="1"/>
  <c r="BX43" s="1"/>
  <c r="BZ43" s="1"/>
  <c r="BV43"/>
  <c r="AZ44"/>
  <c r="BN44" s="1"/>
  <c r="BP44" s="1"/>
  <c r="BX44" s="1"/>
  <c r="BZ44" s="1"/>
  <c r="BV44"/>
  <c r="AZ45"/>
  <c r="BN45" s="1"/>
  <c r="BP45" s="1"/>
  <c r="BX45" s="1"/>
  <c r="BZ45" s="1"/>
  <c r="BV45"/>
  <c r="AZ46"/>
  <c r="BN46" s="1"/>
  <c r="BP46" s="1"/>
  <c r="BX46" s="1"/>
  <c r="BZ46" s="1"/>
  <c r="BV46"/>
  <c r="AZ47"/>
  <c r="BN47" s="1"/>
  <c r="BP47" s="1"/>
  <c r="BX47" s="1"/>
  <c r="BZ47" s="1"/>
  <c r="BV47"/>
  <c r="AZ48"/>
  <c r="BN48" s="1"/>
  <c r="BP48" s="1"/>
  <c r="BX48" s="1"/>
  <c r="BZ48" s="1"/>
  <c r="BV48"/>
  <c r="AZ49"/>
  <c r="BN49" s="1"/>
  <c r="BP49" s="1"/>
  <c r="BX49" s="1"/>
  <c r="BZ49" s="1"/>
  <c r="BV49"/>
  <c r="AZ50"/>
  <c r="BN50" s="1"/>
  <c r="BP50" s="1"/>
  <c r="BX50" s="1"/>
  <c r="BZ50" s="1"/>
  <c r="BV50"/>
  <c r="AZ51"/>
  <c r="BN51" s="1"/>
  <c r="BP51" s="1"/>
  <c r="BX51" s="1"/>
  <c r="BZ51" s="1"/>
  <c r="BV51"/>
  <c r="AZ52"/>
  <c r="BN52" s="1"/>
  <c r="BP52" s="1"/>
  <c r="BX52" s="1"/>
  <c r="BZ52" s="1"/>
  <c r="BV52"/>
  <c r="AZ53"/>
  <c r="BN53" s="1"/>
  <c r="BP53" s="1"/>
  <c r="BX53" s="1"/>
  <c r="BZ53" s="1"/>
  <c r="BV53"/>
  <c r="AZ54"/>
  <c r="BN54" s="1"/>
  <c r="BP54" s="1"/>
  <c r="BX54" s="1"/>
  <c r="BZ54" s="1"/>
  <c r="BV54"/>
  <c r="AZ55"/>
  <c r="BN55" s="1"/>
  <c r="BP55" s="1"/>
  <c r="BX55" s="1"/>
  <c r="BZ55" s="1"/>
  <c r="BV55"/>
  <c r="AZ56"/>
  <c r="BN56" s="1"/>
  <c r="BP56" s="1"/>
  <c r="BX56" s="1"/>
  <c r="BZ56" s="1"/>
  <c r="BV56"/>
  <c r="AZ57"/>
  <c r="BN57" s="1"/>
  <c r="BP57" s="1"/>
  <c r="BX57" s="1"/>
  <c r="BZ57" s="1"/>
  <c r="BV57"/>
  <c r="AZ58"/>
  <c r="BN58" s="1"/>
  <c r="BP58" s="1"/>
  <c r="BX58" s="1"/>
  <c r="BZ58" s="1"/>
  <c r="BV58"/>
  <c r="AZ59"/>
  <c r="BN59" s="1"/>
  <c r="BP59" s="1"/>
  <c r="BX59" s="1"/>
  <c r="BZ59" s="1"/>
  <c r="BV59"/>
  <c r="AZ60"/>
  <c r="BN60" s="1"/>
  <c r="BP60" s="1"/>
  <c r="BX60" s="1"/>
  <c r="BZ60" s="1"/>
  <c r="BV60"/>
  <c r="AZ61"/>
  <c r="BN61" s="1"/>
  <c r="BP61" s="1"/>
  <c r="BX61" s="1"/>
  <c r="BZ61" s="1"/>
  <c r="BV61"/>
  <c r="AZ62"/>
  <c r="BN62" s="1"/>
  <c r="BP62" s="1"/>
  <c r="BX62" s="1"/>
  <c r="BZ62" s="1"/>
  <c r="BV62"/>
  <c r="AZ63"/>
  <c r="BN63" s="1"/>
  <c r="BP63" s="1"/>
  <c r="BX63" s="1"/>
  <c r="BZ63" s="1"/>
  <c r="BV63"/>
  <c r="U12" i="5"/>
  <c r="W12"/>
  <c r="AU12"/>
  <c r="AW12"/>
  <c r="U13"/>
  <c r="W13"/>
  <c r="AU13"/>
  <c r="AW13"/>
  <c r="U14"/>
  <c r="W14"/>
  <c r="AU14"/>
  <c r="AW14"/>
  <c r="U15"/>
  <c r="W15"/>
  <c r="AU15"/>
  <c r="AW15"/>
  <c r="U16"/>
  <c r="W16"/>
  <c r="AU16"/>
  <c r="AW16"/>
  <c r="W17"/>
  <c r="AU17"/>
  <c r="AW17" s="1"/>
  <c r="W18"/>
  <c r="AU18"/>
  <c r="AW18"/>
  <c r="W19"/>
  <c r="AU19"/>
  <c r="AW19" s="1"/>
  <c r="W20"/>
  <c r="AU20"/>
  <c r="AW20"/>
  <c r="W21"/>
  <c r="AU21"/>
  <c r="AW21" s="1"/>
  <c r="G22"/>
  <c r="U22"/>
  <c r="W22"/>
  <c r="AU22"/>
  <c r="AW22"/>
  <c r="W23"/>
  <c r="AU23"/>
  <c r="AW23" s="1"/>
  <c r="W24"/>
  <c r="AU24"/>
  <c r="AW24"/>
  <c r="W25"/>
  <c r="AU25"/>
  <c r="AW25" s="1"/>
  <c r="W26"/>
  <c r="AU26"/>
  <c r="AW26"/>
  <c r="W27"/>
  <c r="AU27"/>
  <c r="AW27" s="1"/>
  <c r="W28"/>
  <c r="AU28"/>
  <c r="AW28"/>
  <c r="W29"/>
  <c r="AU29"/>
  <c r="AW29" s="1"/>
  <c r="W30"/>
  <c r="AU30"/>
  <c r="AW30"/>
  <c r="W31"/>
  <c r="AU31"/>
  <c r="AW31" s="1"/>
  <c r="W32"/>
  <c r="AU32"/>
  <c r="AW32"/>
  <c r="U33"/>
  <c r="W33"/>
  <c r="AU33"/>
  <c r="AW33"/>
  <c r="W34"/>
  <c r="AU34"/>
  <c r="AW34" s="1"/>
  <c r="W35"/>
  <c r="AU35"/>
  <c r="AW35"/>
  <c r="U36"/>
  <c r="W36"/>
  <c r="AU36"/>
  <c r="AW36"/>
  <c r="U37"/>
  <c r="W37"/>
  <c r="AU37"/>
  <c r="AW37"/>
  <c r="U38"/>
  <c r="W38"/>
  <c r="AU38"/>
  <c r="AW38"/>
  <c r="U39"/>
  <c r="W39"/>
  <c r="AU39"/>
  <c r="AW39"/>
  <c r="U40"/>
  <c r="W40"/>
  <c r="AU40"/>
  <c r="AW40"/>
  <c r="W41"/>
  <c r="AU41"/>
  <c r="AW41" s="1"/>
  <c r="U42"/>
  <c r="W42" s="1"/>
  <c r="AU42"/>
  <c r="U43"/>
  <c r="W43" s="1"/>
  <c r="AU43"/>
  <c r="U44"/>
  <c r="W44" s="1"/>
  <c r="AU44"/>
  <c r="U45"/>
  <c r="W45" s="1"/>
  <c r="AU45"/>
  <c r="W46"/>
  <c r="AU46"/>
  <c r="AW46"/>
  <c r="U47"/>
  <c r="W47"/>
  <c r="AU47"/>
  <c r="AW47"/>
  <c r="U48"/>
  <c r="W48"/>
  <c r="AU48"/>
  <c r="AW48"/>
  <c r="U49"/>
  <c r="W49"/>
  <c r="AU49"/>
  <c r="AW49"/>
  <c r="U50"/>
  <c r="W50"/>
  <c r="AU50"/>
  <c r="AW50"/>
  <c r="I51"/>
  <c r="W51"/>
  <c r="AU51"/>
  <c r="AW51"/>
  <c r="W52"/>
  <c r="AU52"/>
  <c r="AW52" s="1"/>
  <c r="W53"/>
  <c r="AU53"/>
  <c r="AW53"/>
  <c r="U54"/>
  <c r="W54"/>
  <c r="AU54"/>
  <c r="AW54"/>
  <c r="I55"/>
  <c r="U55"/>
  <c r="W55" s="1"/>
  <c r="AU55"/>
  <c r="AW55" s="1"/>
  <c r="W56"/>
  <c r="AU56"/>
  <c r="AW56"/>
  <c r="U57"/>
  <c r="W57"/>
  <c r="AU57"/>
  <c r="AW57"/>
  <c r="U58"/>
  <c r="W58"/>
  <c r="AU58"/>
  <c r="AW58"/>
  <c r="I59"/>
  <c r="U59"/>
  <c r="W59" s="1"/>
  <c r="AU59"/>
  <c r="AW59" s="1"/>
  <c r="U60"/>
  <c r="W60" s="1"/>
  <c r="AU60"/>
  <c r="AW60" s="1"/>
  <c r="U61"/>
  <c r="W61" s="1"/>
  <c r="AU61"/>
  <c r="AW61" s="1"/>
  <c r="U62"/>
  <c r="W62" s="1"/>
  <c r="AU62"/>
  <c r="AW62" s="1"/>
  <c r="K12" i="6"/>
  <c r="O12"/>
  <c r="AC12"/>
  <c r="AE12"/>
  <c r="K13"/>
  <c r="O13"/>
  <c r="W13"/>
  <c r="AC13"/>
  <c r="AE13"/>
  <c r="K14"/>
  <c r="O14"/>
  <c r="W14"/>
  <c r="AC14"/>
  <c r="AE14"/>
  <c r="K15"/>
  <c r="O15"/>
  <c r="AE15" s="1"/>
  <c r="W15"/>
  <c r="AC15"/>
  <c r="K16"/>
  <c r="O16"/>
  <c r="W16"/>
  <c r="AC16" s="1"/>
  <c r="AE16"/>
  <c r="K17"/>
  <c r="O17"/>
  <c r="AC17"/>
  <c r="AE17"/>
  <c r="K18"/>
  <c r="O18"/>
  <c r="AC18"/>
  <c r="AE18"/>
  <c r="K19"/>
  <c r="O19"/>
  <c r="AC19"/>
  <c r="AE19"/>
  <c r="K20"/>
  <c r="O20"/>
  <c r="AC20"/>
  <c r="AE20"/>
  <c r="K21"/>
  <c r="O21"/>
  <c r="AC21"/>
  <c r="AE21"/>
  <c r="G22"/>
  <c r="K22"/>
  <c r="O22"/>
  <c r="W22"/>
  <c r="AC22" s="1"/>
  <c r="AE22"/>
  <c r="K23"/>
  <c r="O23"/>
  <c r="AC23"/>
  <c r="AE23"/>
  <c r="K24"/>
  <c r="O24"/>
  <c r="AC24"/>
  <c r="AE24"/>
  <c r="K25"/>
  <c r="O25"/>
  <c r="AC25"/>
  <c r="AE25"/>
  <c r="K26"/>
  <c r="O26"/>
  <c r="AE26" s="1"/>
  <c r="W26"/>
  <c r="AC26"/>
  <c r="K27"/>
  <c r="AE27" s="1"/>
  <c r="O27"/>
  <c r="AC27"/>
  <c r="K28"/>
  <c r="AE28" s="1"/>
  <c r="O28"/>
  <c r="AC28"/>
  <c r="K29"/>
  <c r="O29"/>
  <c r="W29"/>
  <c r="AC29" s="1"/>
  <c r="AE29"/>
  <c r="K30"/>
  <c r="O30"/>
  <c r="AC30"/>
  <c r="AE30"/>
  <c r="K31"/>
  <c r="O31"/>
  <c r="AC31"/>
  <c r="AE31"/>
  <c r="K32"/>
  <c r="O32"/>
  <c r="AC32"/>
  <c r="AE32"/>
  <c r="K33"/>
  <c r="O33"/>
  <c r="AE33" s="1"/>
  <c r="W33"/>
  <c r="AC33"/>
  <c r="K34"/>
  <c r="AE34" s="1"/>
  <c r="O34"/>
  <c r="AC34"/>
  <c r="K35"/>
  <c r="O35"/>
  <c r="W35"/>
  <c r="AC35" s="1"/>
  <c r="AE35"/>
  <c r="K36"/>
  <c r="O36"/>
  <c r="AE36" s="1"/>
  <c r="W36"/>
  <c r="AC36"/>
  <c r="K37"/>
  <c r="O37"/>
  <c r="W37"/>
  <c r="AC37" s="1"/>
  <c r="AE37"/>
  <c r="K38"/>
  <c r="O38"/>
  <c r="AE38" s="1"/>
  <c r="W38"/>
  <c r="AC38"/>
  <c r="K39"/>
  <c r="O39"/>
  <c r="W39"/>
  <c r="AC39" s="1"/>
  <c r="AE39"/>
  <c r="K40"/>
  <c r="O40"/>
  <c r="AE40" s="1"/>
  <c r="W40"/>
  <c r="AC40"/>
  <c r="K41"/>
  <c r="AE41" s="1"/>
  <c r="O41"/>
  <c r="AC41"/>
  <c r="K42"/>
  <c r="O42"/>
  <c r="W42"/>
  <c r="AC42" s="1"/>
  <c r="AE42"/>
  <c r="K43"/>
  <c r="O43"/>
  <c r="AE43" s="1"/>
  <c r="W43"/>
  <c r="AC43"/>
  <c r="I44"/>
  <c r="K44" s="1"/>
  <c r="O44"/>
  <c r="W44"/>
  <c r="AC44"/>
  <c r="K45"/>
  <c r="AE45" s="1"/>
  <c r="Q45"/>
  <c r="O45" s="1"/>
  <c r="W45"/>
  <c r="AC45"/>
  <c r="K46"/>
  <c r="O46"/>
  <c r="W46"/>
  <c r="AC46" s="1"/>
  <c r="AE46"/>
  <c r="K47"/>
  <c r="O47"/>
  <c r="AE47" s="1"/>
  <c r="W47"/>
  <c r="AC47"/>
  <c r="K48"/>
  <c r="O48"/>
  <c r="W48"/>
  <c r="AC48" s="1"/>
  <c r="AE48"/>
  <c r="K49"/>
  <c r="O49"/>
  <c r="AE49" s="1"/>
  <c r="W49"/>
  <c r="AC49"/>
  <c r="K50"/>
  <c r="O50"/>
  <c r="W50"/>
  <c r="AC50" s="1"/>
  <c r="AE50"/>
  <c r="K51"/>
  <c r="O51"/>
  <c r="Q51"/>
  <c r="W51"/>
  <c r="AC51" s="1"/>
  <c r="AE51"/>
  <c r="K52"/>
  <c r="O52"/>
  <c r="AE52" s="1"/>
  <c r="W52"/>
  <c r="AC52"/>
  <c r="K53"/>
  <c r="O53"/>
  <c r="W53"/>
  <c r="AC53" s="1"/>
  <c r="AE53"/>
  <c r="K54"/>
  <c r="O54"/>
  <c r="AE54" s="1"/>
  <c r="W54"/>
  <c r="AC54"/>
  <c r="K55"/>
  <c r="Q55"/>
  <c r="O55" s="1"/>
  <c r="W55"/>
  <c r="AC55"/>
  <c r="K56"/>
  <c r="O56"/>
  <c r="W56"/>
  <c r="AC56" s="1"/>
  <c r="AE56"/>
  <c r="K57"/>
  <c r="O57"/>
  <c r="AE57" s="1"/>
  <c r="W57"/>
  <c r="AC57"/>
  <c r="K58"/>
  <c r="O58"/>
  <c r="W58"/>
  <c r="AC58" s="1"/>
  <c r="AE58"/>
  <c r="K59"/>
  <c r="O59"/>
  <c r="Q59"/>
  <c r="W59"/>
  <c r="AC59" s="1"/>
  <c r="AE59"/>
  <c r="K60"/>
  <c r="O60"/>
  <c r="AE60" s="1"/>
  <c r="W60"/>
  <c r="AC60"/>
  <c r="I61"/>
  <c r="K61" s="1"/>
  <c r="AE61" s="1"/>
  <c r="O61"/>
  <c r="W61"/>
  <c r="Y61"/>
  <c r="AC61" s="1"/>
  <c r="K62"/>
  <c r="O62"/>
  <c r="AE62" s="1"/>
  <c r="W62"/>
  <c r="AC62"/>
  <c r="M15" i="8"/>
  <c r="O15"/>
  <c r="AC15"/>
  <c r="AG15"/>
  <c r="M16"/>
  <c r="AC16"/>
  <c r="AG16"/>
  <c r="M17"/>
  <c r="AC17"/>
  <c r="AG17"/>
  <c r="M18"/>
  <c r="AC18"/>
  <c r="AG18"/>
  <c r="M19"/>
  <c r="AC19"/>
  <c r="AG19"/>
  <c r="M20"/>
  <c r="AC20"/>
  <c r="AG20"/>
  <c r="M21"/>
  <c r="AC21"/>
  <c r="AG21"/>
  <c r="M22"/>
  <c r="AC22"/>
  <c r="AG22"/>
  <c r="M23"/>
  <c r="AC23"/>
  <c r="AG23"/>
  <c r="M24"/>
  <c r="AC24"/>
  <c r="AG24"/>
  <c r="M25"/>
  <c r="O25"/>
  <c r="AC25"/>
  <c r="AG25"/>
  <c r="M26"/>
  <c r="AC26"/>
  <c r="AG26"/>
  <c r="M27"/>
  <c r="AC27"/>
  <c r="AG27"/>
  <c r="M28"/>
  <c r="AC28"/>
  <c r="AG28"/>
  <c r="M29"/>
  <c r="AC29"/>
  <c r="AG29"/>
  <c r="M30"/>
  <c r="AC30"/>
  <c r="AG30"/>
  <c r="M31"/>
  <c r="AC31"/>
  <c r="AG31"/>
  <c r="M32"/>
  <c r="AC32"/>
  <c r="AG32"/>
  <c r="M33"/>
  <c r="AC33"/>
  <c r="AG33"/>
  <c r="M34"/>
  <c r="AC34"/>
  <c r="AG34"/>
  <c r="M35"/>
  <c r="AC35"/>
  <c r="AG35"/>
  <c r="M36"/>
  <c r="AC36"/>
  <c r="AG36"/>
  <c r="M37"/>
  <c r="AC37"/>
  <c r="AG37"/>
  <c r="M38"/>
  <c r="AC38"/>
  <c r="AG38"/>
  <c r="M39"/>
  <c r="Y39"/>
  <c r="AC39"/>
  <c r="AG39"/>
  <c r="M40"/>
  <c r="AC40"/>
  <c r="AG40"/>
  <c r="M41"/>
  <c r="Q41"/>
  <c r="AC41"/>
  <c r="AG41"/>
  <c r="M42"/>
  <c r="AC42"/>
  <c r="AG42"/>
  <c r="M43"/>
  <c r="AC43"/>
  <c r="AG43"/>
  <c r="M44"/>
  <c r="AC44"/>
  <c r="AG44"/>
  <c r="M45"/>
  <c r="AC45"/>
  <c r="AG45"/>
  <c r="M46"/>
  <c r="Q46"/>
  <c r="Y46"/>
  <c r="AC46"/>
  <c r="AG46"/>
  <c r="M47"/>
  <c r="AC47"/>
  <c r="AG47"/>
  <c r="M48"/>
  <c r="Q48"/>
  <c r="AC48"/>
  <c r="AG48"/>
  <c r="M49"/>
  <c r="AC49"/>
  <c r="AG49"/>
  <c r="M50"/>
  <c r="AC50"/>
  <c r="AG50"/>
  <c r="M51"/>
  <c r="Q51"/>
  <c r="Y51"/>
  <c r="AC51"/>
  <c r="AG51" s="1"/>
  <c r="M52"/>
  <c r="AC52"/>
  <c r="AG52"/>
  <c r="M53"/>
  <c r="AC53"/>
  <c r="AG53"/>
  <c r="M54"/>
  <c r="AC54"/>
  <c r="AG54"/>
  <c r="M55"/>
  <c r="AC55"/>
  <c r="AG55"/>
  <c r="M56"/>
  <c r="AC56"/>
  <c r="AG56"/>
  <c r="M57"/>
  <c r="AC57"/>
  <c r="AG57"/>
  <c r="M58"/>
  <c r="AC58"/>
  <c r="AG58"/>
  <c r="M59"/>
  <c r="AC59"/>
  <c r="AG59"/>
  <c r="M60"/>
  <c r="AC60"/>
  <c r="AG60"/>
  <c r="M61"/>
  <c r="AC61"/>
  <c r="AG61"/>
  <c r="M62"/>
  <c r="AC62"/>
  <c r="AG62"/>
  <c r="M63"/>
  <c r="AC63"/>
  <c r="AG63"/>
  <c r="M64"/>
  <c r="AC64"/>
  <c r="AG64"/>
  <c r="M65"/>
  <c r="AC65"/>
  <c r="AG65"/>
  <c r="G13" i="9"/>
  <c r="M13"/>
  <c r="AE13" s="1"/>
  <c r="W13"/>
  <c r="AC13"/>
  <c r="G14"/>
  <c r="M14"/>
  <c r="W14"/>
  <c r="AC14"/>
  <c r="AE14"/>
  <c r="G15"/>
  <c r="M15"/>
  <c r="AE15" s="1"/>
  <c r="W15"/>
  <c r="AC15"/>
  <c r="G16"/>
  <c r="M16"/>
  <c r="W16"/>
  <c r="AC16"/>
  <c r="AE16"/>
  <c r="G17"/>
  <c r="M17"/>
  <c r="AE17" s="1"/>
  <c r="W17"/>
  <c r="AC17"/>
  <c r="G18"/>
  <c r="M18"/>
  <c r="W18"/>
  <c r="AC18"/>
  <c r="AE18"/>
  <c r="G19"/>
  <c r="M19"/>
  <c r="AE19" s="1"/>
  <c r="W19"/>
  <c r="AC19"/>
  <c r="G20"/>
  <c r="M20"/>
  <c r="W20"/>
  <c r="AC20"/>
  <c r="AE20"/>
  <c r="G21"/>
  <c r="M21"/>
  <c r="AE21" s="1"/>
  <c r="W21"/>
  <c r="AC21"/>
  <c r="G22"/>
  <c r="M22"/>
  <c r="W22"/>
  <c r="AC22"/>
  <c r="AE22"/>
  <c r="G23"/>
  <c r="M23"/>
  <c r="AE23" s="1"/>
  <c r="W23"/>
  <c r="AC23"/>
  <c r="G24"/>
  <c r="M24"/>
  <c r="W24"/>
  <c r="AC24"/>
  <c r="AE24"/>
  <c r="G25"/>
  <c r="M25"/>
  <c r="AE25" s="1"/>
  <c r="W25"/>
  <c r="AC25"/>
  <c r="G26"/>
  <c r="M26"/>
  <c r="W26"/>
  <c r="AC26"/>
  <c r="AE26"/>
  <c r="G27"/>
  <c r="M27"/>
  <c r="AE27" s="1"/>
  <c r="W27"/>
  <c r="AC27"/>
  <c r="G28"/>
  <c r="M28"/>
  <c r="W28"/>
  <c r="AC28"/>
  <c r="AE28"/>
  <c r="G29"/>
  <c r="M29"/>
  <c r="AE29" s="1"/>
  <c r="W29"/>
  <c r="AC29"/>
  <c r="G30"/>
  <c r="M30"/>
  <c r="W30"/>
  <c r="AC30"/>
  <c r="AE30"/>
  <c r="G31"/>
  <c r="M31"/>
  <c r="AE31" s="1"/>
  <c r="W31"/>
  <c r="AC31"/>
  <c r="G32"/>
  <c r="M32"/>
  <c r="W32"/>
  <c r="AC32"/>
  <c r="AE32"/>
  <c r="G33"/>
  <c r="M33"/>
  <c r="AE33" s="1"/>
  <c r="W33"/>
  <c r="AC33"/>
  <c r="G34"/>
  <c r="M34"/>
  <c r="W34"/>
  <c r="AC34"/>
  <c r="AE34"/>
  <c r="G35"/>
  <c r="M35"/>
  <c r="AE35" s="1"/>
  <c r="W35"/>
  <c r="AC35"/>
  <c r="G36"/>
  <c r="M36"/>
  <c r="W36"/>
  <c r="AC36"/>
  <c r="AE36"/>
  <c r="G37"/>
  <c r="M37"/>
  <c r="AE37" s="1"/>
  <c r="W37"/>
  <c r="AC37"/>
  <c r="G38"/>
  <c r="M38"/>
  <c r="W38"/>
  <c r="AC38"/>
  <c r="AE38"/>
  <c r="G39"/>
  <c r="M39"/>
  <c r="Q39"/>
  <c r="W39"/>
  <c r="AC39"/>
  <c r="AE39"/>
  <c r="G40"/>
  <c r="M40"/>
  <c r="AE40" s="1"/>
  <c r="W40"/>
  <c r="AC40"/>
  <c r="G41"/>
  <c r="M41"/>
  <c r="W41"/>
  <c r="AC41"/>
  <c r="AE41"/>
  <c r="G42"/>
  <c r="M42"/>
  <c r="AE42" s="1"/>
  <c r="W42"/>
  <c r="AC42"/>
  <c r="G43"/>
  <c r="M43"/>
  <c r="AE43" s="1"/>
  <c r="W43"/>
  <c r="AC43"/>
  <c r="G44"/>
  <c r="M44"/>
  <c r="AE44" s="1"/>
  <c r="W44"/>
  <c r="AC44"/>
  <c r="G45"/>
  <c r="M45"/>
  <c r="W45"/>
  <c r="AC45"/>
  <c r="AE45"/>
  <c r="G46"/>
  <c r="M46"/>
  <c r="AE46" s="1"/>
  <c r="W46"/>
  <c r="AC46"/>
  <c r="G47"/>
  <c r="O47"/>
  <c r="M47" s="1"/>
  <c r="AE47" s="1"/>
  <c r="Q47"/>
  <c r="W47"/>
  <c r="AC47"/>
  <c r="G48"/>
  <c r="M48"/>
  <c r="AE48" s="1"/>
  <c r="W48"/>
  <c r="AC48"/>
  <c r="G49"/>
  <c r="AE49" s="1"/>
  <c r="Q49"/>
  <c r="M49" s="1"/>
  <c r="W49"/>
  <c r="AC49"/>
  <c r="G50"/>
  <c r="AE50" s="1"/>
  <c r="Q50"/>
  <c r="M50" s="1"/>
  <c r="W50"/>
  <c r="AC50"/>
  <c r="G51"/>
  <c r="AE51" s="1"/>
  <c r="Q51"/>
  <c r="M51" s="1"/>
  <c r="W51"/>
  <c r="AC51"/>
  <c r="G52"/>
  <c r="AE52" s="1"/>
  <c r="Q52"/>
  <c r="M52" s="1"/>
  <c r="W52"/>
  <c r="AC52"/>
  <c r="G53"/>
  <c r="M53"/>
  <c r="W53"/>
  <c r="AC53"/>
  <c r="AE53"/>
  <c r="G54"/>
  <c r="O54"/>
  <c r="Q54"/>
  <c r="M54" s="1"/>
  <c r="AE54" s="1"/>
  <c r="W54"/>
  <c r="AC54"/>
  <c r="G55"/>
  <c r="O55"/>
  <c r="M55" s="1"/>
  <c r="AE55" s="1"/>
  <c r="Q55"/>
  <c r="W55"/>
  <c r="AC55"/>
  <c r="G56"/>
  <c r="O56"/>
  <c r="Q56"/>
  <c r="M56" s="1"/>
  <c r="AE56" s="1"/>
  <c r="W56"/>
  <c r="AC56"/>
  <c r="G57"/>
  <c r="AE57" s="1"/>
  <c r="Q57"/>
  <c r="M57" s="1"/>
  <c r="W57"/>
  <c r="AC57"/>
  <c r="G58"/>
  <c r="AE58" s="1"/>
  <c r="Q58"/>
  <c r="M58" s="1"/>
  <c r="W58"/>
  <c r="AC58"/>
  <c r="G59"/>
  <c r="AE59" s="1"/>
  <c r="Q59"/>
  <c r="M59" s="1"/>
  <c r="W59"/>
  <c r="AC59"/>
  <c r="G60"/>
  <c r="AE60" s="1"/>
  <c r="Q60"/>
  <c r="M60" s="1"/>
  <c r="W60"/>
  <c r="AC60"/>
  <c r="G61"/>
  <c r="I61"/>
  <c r="M61"/>
  <c r="Q61"/>
  <c r="U61"/>
  <c r="Y61"/>
  <c r="W61" s="1"/>
  <c r="AE61" s="1"/>
  <c r="AC61"/>
  <c r="G62"/>
  <c r="O62"/>
  <c r="Q62"/>
  <c r="M62" s="1"/>
  <c r="AE62" s="1"/>
  <c r="W62"/>
  <c r="AC62"/>
  <c r="G63"/>
  <c r="AE63" s="1"/>
  <c r="Q63"/>
  <c r="M63" s="1"/>
  <c r="W63"/>
  <c r="AC63"/>
  <c r="Y125" i="2"/>
  <c r="AX125" s="1"/>
  <c r="BR124" i="11" s="1"/>
  <c r="BX124" s="1"/>
  <c r="AE124" i="1"/>
  <c r="AC124"/>
  <c r="K125"/>
  <c r="O125"/>
  <c r="AA125"/>
  <c r="AC125" s="1"/>
  <c r="AE124" i="6"/>
  <c r="AC124"/>
  <c r="AC125"/>
  <c r="AC123"/>
  <c r="BA130" i="7"/>
  <c r="Q126" i="9"/>
  <c r="W127" i="2"/>
  <c r="AA126" i="1"/>
  <c r="U127" i="5"/>
  <c r="Q127" i="9"/>
  <c r="W126" i="2"/>
  <c r="Y126" s="1"/>
  <c r="U126" i="5"/>
  <c r="W126" s="1"/>
  <c r="W124" i="2"/>
  <c r="AA123" i="1"/>
  <c r="BF124" i="4"/>
  <c r="W120" i="2"/>
  <c r="AA119" i="1"/>
  <c r="Y119"/>
  <c r="U120" i="5"/>
  <c r="Y119" i="6"/>
  <c r="Q120" i="9"/>
  <c r="W119" i="2"/>
  <c r="K119"/>
  <c r="AA118" i="1"/>
  <c r="W118"/>
  <c r="I119" i="5"/>
  <c r="U119"/>
  <c r="W118" i="6"/>
  <c r="Q119" i="9"/>
  <c r="AE61" i="1" l="1"/>
  <c r="AE125"/>
  <c r="BZ124" i="11"/>
  <c r="AW45" i="5"/>
  <c r="AW44"/>
  <c r="AW43"/>
  <c r="AW42"/>
  <c r="AE55" i="6"/>
  <c r="AE44"/>
  <c r="O118" i="2"/>
  <c r="AA117" i="1"/>
  <c r="M118" i="5"/>
  <c r="Q118" i="9"/>
  <c r="W117" i="2"/>
  <c r="AA116" i="1"/>
  <c r="U117" i="5"/>
  <c r="Q119" i="8"/>
  <c r="Q117" i="9"/>
  <c r="W116" i="2"/>
  <c r="K116"/>
  <c r="AA115" i="1"/>
  <c r="W115"/>
  <c r="U116" i="5"/>
  <c r="I116"/>
  <c r="W115" i="6"/>
  <c r="Q116" i="9"/>
  <c r="K123" i="2"/>
  <c r="AA122" i="1"/>
  <c r="Q123" i="9"/>
  <c r="M122" i="10"/>
  <c r="W122" i="2"/>
  <c r="K122"/>
  <c r="AA121" i="1"/>
  <c r="W121"/>
  <c r="Q121"/>
  <c r="U122" i="5"/>
  <c r="I122"/>
  <c r="W121" i="6"/>
  <c r="Q121"/>
  <c r="Q122" i="9"/>
  <c r="W121" i="2"/>
  <c r="K121"/>
  <c r="AA120" i="1"/>
  <c r="W120"/>
  <c r="Q120"/>
  <c r="U121" i="5"/>
  <c r="I121"/>
  <c r="W120" i="6"/>
  <c r="Q120"/>
  <c r="Q121" i="9"/>
  <c r="W114" i="2"/>
  <c r="K114"/>
  <c r="AA113" i="1"/>
  <c r="W113"/>
  <c r="U114" i="5"/>
  <c r="I114"/>
  <c r="Q114" i="9"/>
  <c r="M108" i="11"/>
  <c r="W109" i="2"/>
  <c r="AA108" i="1"/>
  <c r="U109" i="5"/>
  <c r="M113" i="7"/>
  <c r="Q109" i="9"/>
  <c r="W113" i="2"/>
  <c r="K113"/>
  <c r="AA112" i="1"/>
  <c r="U113" i="5"/>
  <c r="I113"/>
  <c r="W112" i="2"/>
  <c r="Y111" i="1"/>
  <c r="U112" i="5"/>
  <c r="W111" i="2"/>
  <c r="AA110" i="1"/>
  <c r="W110" i="2"/>
  <c r="O110"/>
  <c r="AA109" i="1"/>
  <c r="U110" i="5"/>
  <c r="W104" i="2"/>
  <c r="K104"/>
  <c r="AA103" i="1"/>
  <c r="W103"/>
  <c r="U104" i="5"/>
  <c r="I104"/>
  <c r="W103" i="6"/>
  <c r="W103" i="2"/>
  <c r="AA102" i="1"/>
  <c r="U103" i="5"/>
  <c r="W101" i="2"/>
  <c r="K101"/>
  <c r="AA100" i="1"/>
  <c r="W100"/>
  <c r="U101" i="5"/>
  <c r="W100" i="6"/>
  <c r="W100" i="2"/>
  <c r="AA99" i="1"/>
  <c r="W99"/>
  <c r="U100" i="5"/>
  <c r="W99" i="6"/>
  <c r="AY104" i="7"/>
  <c r="W99" i="2"/>
  <c r="AA98" i="1"/>
  <c r="W102" i="2"/>
  <c r="AA101" i="1"/>
  <c r="U102" i="5"/>
  <c r="AY106" i="7"/>
  <c r="W98" i="2"/>
  <c r="K98"/>
  <c r="AA97" i="1"/>
  <c r="W97"/>
  <c r="U98" i="5"/>
  <c r="I98"/>
  <c r="W97" i="6"/>
  <c r="W97" i="2"/>
  <c r="K97"/>
  <c r="AA96" i="1"/>
  <c r="I97" i="5"/>
  <c r="W96" i="2" l="1"/>
  <c r="K96"/>
  <c r="AA95" i="1"/>
  <c r="U96" i="5"/>
  <c r="I96"/>
  <c r="W95" i="2"/>
  <c r="AA94" i="1"/>
  <c r="U95" i="5"/>
  <c r="W94" i="2"/>
  <c r="AA93" i="1"/>
  <c r="U94" i="5"/>
  <c r="X104" i="10"/>
  <c r="S104"/>
  <c r="BC104" i="11"/>
  <c r="BP104" s="1"/>
  <c r="AV105" i="2"/>
  <c r="W105"/>
  <c r="K105"/>
  <c r="Y105" s="1"/>
  <c r="AA104" i="1"/>
  <c r="W104"/>
  <c r="Q104"/>
  <c r="O104" s="1"/>
  <c r="K104"/>
  <c r="BV105" i="4"/>
  <c r="AZ105"/>
  <c r="BN105" s="1"/>
  <c r="AU105" i="5"/>
  <c r="U105"/>
  <c r="I105"/>
  <c r="AC104" i="6"/>
  <c r="W104"/>
  <c r="Q104"/>
  <c r="O104" s="1"/>
  <c r="K104"/>
  <c r="BA109" i="7"/>
  <c r="AC107" i="8"/>
  <c r="M107"/>
  <c r="AC105" i="9"/>
  <c r="W105"/>
  <c r="M105"/>
  <c r="G105"/>
  <c r="AE105" s="1"/>
  <c r="AC104" i="1" l="1"/>
  <c r="AE104"/>
  <c r="W105" i="5"/>
  <c r="AG107" i="8"/>
  <c r="AE104" i="6"/>
  <c r="BC109" i="7"/>
  <c r="BG109" s="1"/>
  <c r="BI109" s="1"/>
  <c r="AX105" i="2"/>
  <c r="BR104" i="11" s="1"/>
  <c r="BX104" s="1"/>
  <c r="BZ104" s="1"/>
  <c r="AW105" i="5"/>
  <c r="BP105" i="4" s="1"/>
  <c r="BX105" s="1"/>
  <c r="BZ105" s="1"/>
  <c r="W70" i="2" l="1"/>
  <c r="AA69" i="1"/>
  <c r="U70" i="5"/>
  <c r="AY74" i="7"/>
  <c r="W68" i="2"/>
  <c r="AA67" i="1"/>
  <c r="U68" i="5"/>
  <c r="G67" i="9"/>
  <c r="G68"/>
  <c r="W67" i="2"/>
  <c r="AA66" i="1"/>
  <c r="U67" i="5"/>
  <c r="M68" i="11"/>
  <c r="W69" i="2"/>
  <c r="AA68" i="1"/>
  <c r="U69" i="5"/>
  <c r="M73" i="7"/>
  <c r="W93" i="2" l="1"/>
  <c r="AA92" i="1"/>
  <c r="U93" i="5"/>
  <c r="W92" i="2"/>
  <c r="AA91" i="1"/>
  <c r="U92" i="5"/>
  <c r="W91" i="2"/>
  <c r="AA90" i="1"/>
  <c r="U91" i="5"/>
  <c r="O66" i="1" l="1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6"/>
  <c r="AV126" i="2" l="1"/>
  <c r="AX126" s="1"/>
  <c r="K125" i="6"/>
  <c r="W127" i="5"/>
  <c r="W111"/>
  <c r="K107" i="1"/>
  <c r="W113" i="5"/>
  <c r="Y123" i="2"/>
  <c r="AC103" i="6"/>
  <c r="AC74" i="9"/>
  <c r="AC76" i="6"/>
  <c r="O76"/>
  <c r="K76"/>
  <c r="AZ67" i="4"/>
  <c r="BN67" s="1"/>
  <c r="AZ127"/>
  <c r="BN127" s="1"/>
  <c r="AZ126"/>
  <c r="BN126" s="1"/>
  <c r="AZ124"/>
  <c r="AZ123"/>
  <c r="BN123" s="1"/>
  <c r="AZ122"/>
  <c r="AZ121"/>
  <c r="BN121" s="1"/>
  <c r="AZ120"/>
  <c r="AZ119"/>
  <c r="AZ118"/>
  <c r="AZ117"/>
  <c r="BN117" s="1"/>
  <c r="AZ116"/>
  <c r="BN116" s="1"/>
  <c r="AZ115"/>
  <c r="AZ114"/>
  <c r="BN114" s="1"/>
  <c r="AZ113"/>
  <c r="BN113" s="1"/>
  <c r="AZ112"/>
  <c r="BN112" s="1"/>
  <c r="AZ111"/>
  <c r="BN111" s="1"/>
  <c r="AZ110"/>
  <c r="AZ109"/>
  <c r="BN109" s="1"/>
  <c r="AZ108"/>
  <c r="AZ107"/>
  <c r="AZ104"/>
  <c r="BN104" s="1"/>
  <c r="AZ103"/>
  <c r="BN103" s="1"/>
  <c r="AZ102"/>
  <c r="AZ101"/>
  <c r="BN101" s="1"/>
  <c r="AZ100"/>
  <c r="AZ99"/>
  <c r="AZ98"/>
  <c r="AZ97"/>
  <c r="BN97" s="1"/>
  <c r="AZ96"/>
  <c r="AZ95"/>
  <c r="BN95" s="1"/>
  <c r="AZ94"/>
  <c r="BN94" s="1"/>
  <c r="AZ93"/>
  <c r="BN93" s="1"/>
  <c r="AZ92"/>
  <c r="BN92" s="1"/>
  <c r="AZ91"/>
  <c r="BN91" s="1"/>
  <c r="AZ90"/>
  <c r="AZ89"/>
  <c r="BN89" s="1"/>
  <c r="AZ88"/>
  <c r="BN88" s="1"/>
  <c r="AZ87"/>
  <c r="BN87" s="1"/>
  <c r="AZ86"/>
  <c r="BN86" s="1"/>
  <c r="AZ85"/>
  <c r="BN85" s="1"/>
  <c r="AZ84"/>
  <c r="AZ83"/>
  <c r="BN83" s="1"/>
  <c r="AZ82"/>
  <c r="AZ81"/>
  <c r="BN81" s="1"/>
  <c r="AZ80"/>
  <c r="AZ79"/>
  <c r="BN79" s="1"/>
  <c r="AZ78"/>
  <c r="BN78" s="1"/>
  <c r="AZ77"/>
  <c r="BN77" s="1"/>
  <c r="AZ76"/>
  <c r="AZ75"/>
  <c r="BN75" s="1"/>
  <c r="AZ74"/>
  <c r="BN74" s="1"/>
  <c r="AZ73"/>
  <c r="BN73" s="1"/>
  <c r="AZ72"/>
  <c r="BN72" s="1"/>
  <c r="AZ71"/>
  <c r="BN71" s="1"/>
  <c r="AZ69"/>
  <c r="BN69" s="1"/>
  <c r="AC72" i="8"/>
  <c r="AC69"/>
  <c r="AC70"/>
  <c r="AC71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Z133" i="4"/>
  <c r="BN124"/>
  <c r="BN122"/>
  <c r="BN120"/>
  <c r="BN119"/>
  <c r="BN118"/>
  <c r="BN115"/>
  <c r="BN110"/>
  <c r="BN108"/>
  <c r="BN107"/>
  <c r="BN102"/>
  <c r="BN100"/>
  <c r="BN99"/>
  <c r="BN98"/>
  <c r="BN96"/>
  <c r="BN90"/>
  <c r="BN84"/>
  <c r="BN82"/>
  <c r="BN80"/>
  <c r="BN76"/>
  <c r="AZ70"/>
  <c r="BN70" s="1"/>
  <c r="AZ68"/>
  <c r="BN68" s="1"/>
  <c r="AU81" i="5"/>
  <c r="W81"/>
  <c r="BA85" i="7"/>
  <c r="BA86"/>
  <c r="M84" i="8"/>
  <c r="O78" i="6"/>
  <c r="AC81"/>
  <c r="W82" i="5"/>
  <c r="AU82"/>
  <c r="AC79" i="6"/>
  <c r="W80" i="5"/>
  <c r="AU80"/>
  <c r="AC78" i="6"/>
  <c r="W79" i="5"/>
  <c r="AU79"/>
  <c r="AC77" i="6"/>
  <c r="AU78" i="5"/>
  <c r="W78"/>
  <c r="K77" i="6"/>
  <c r="O77"/>
  <c r="BC123" i="11"/>
  <c r="BP123" s="1"/>
  <c r="AV124" i="2"/>
  <c r="Y124"/>
  <c r="BC122" i="11"/>
  <c r="BP122" s="1"/>
  <c r="AV123" i="2"/>
  <c r="AX123" s="1"/>
  <c r="AU125" i="5"/>
  <c r="W125"/>
  <c r="AC123" i="1"/>
  <c r="X92" i="10"/>
  <c r="S92"/>
  <c r="BC92" i="11"/>
  <c r="BP92" s="1"/>
  <c r="AV93" i="2"/>
  <c r="Y93"/>
  <c r="Y94"/>
  <c r="AU93" i="5"/>
  <c r="W93"/>
  <c r="BV93" i="4"/>
  <c r="K92" i="1"/>
  <c r="AE92" s="1"/>
  <c r="AC92"/>
  <c r="K92" i="6"/>
  <c r="O92"/>
  <c r="AC92"/>
  <c r="BA97" i="7"/>
  <c r="M95" i="8"/>
  <c r="G93" i="9"/>
  <c r="M93"/>
  <c r="W93"/>
  <c r="AC93"/>
  <c r="BC93" i="11"/>
  <c r="BP93" s="1"/>
  <c r="BC91"/>
  <c r="BP91" s="1"/>
  <c r="AU94" i="5"/>
  <c r="W94"/>
  <c r="BA96" i="7"/>
  <c r="BA98"/>
  <c r="M96" i="8"/>
  <c r="M92" i="9"/>
  <c r="AU91" i="5"/>
  <c r="W91"/>
  <c r="AC90" i="6"/>
  <c r="AV92" i="2"/>
  <c r="Y92"/>
  <c r="AC91" i="1"/>
  <c r="BA94" i="7"/>
  <c r="X117" i="10"/>
  <c r="S117"/>
  <c r="BC117" i="11"/>
  <c r="BP117" s="1"/>
  <c r="AV118" i="2"/>
  <c r="Y118"/>
  <c r="AU118" i="5"/>
  <c r="W118"/>
  <c r="BV118" i="4"/>
  <c r="K117" i="1"/>
  <c r="AE117" s="1"/>
  <c r="AC117"/>
  <c r="K117" i="6"/>
  <c r="O117"/>
  <c r="AC117"/>
  <c r="BA122" i="7"/>
  <c r="M120" i="8"/>
  <c r="G118" i="9"/>
  <c r="M118"/>
  <c r="W118"/>
  <c r="AC118"/>
  <c r="BC115" i="11"/>
  <c r="BP115" s="1"/>
  <c r="AU115" i="5"/>
  <c r="W115"/>
  <c r="W124"/>
  <c r="AU124"/>
  <c r="AU123"/>
  <c r="W123"/>
  <c r="AU122"/>
  <c r="W122"/>
  <c r="AU121"/>
  <c r="W121"/>
  <c r="W120"/>
  <c r="AU120"/>
  <c r="AC119" i="6"/>
  <c r="W119" i="5"/>
  <c r="AU119"/>
  <c r="AC118" i="6"/>
  <c r="AC116"/>
  <c r="W117" i="5"/>
  <c r="AU117"/>
  <c r="W116"/>
  <c r="AU116"/>
  <c r="AC115" i="6"/>
  <c r="AC114"/>
  <c r="AC113"/>
  <c r="W114" i="5"/>
  <c r="AU114"/>
  <c r="AC112" i="6"/>
  <c r="AU113" i="5"/>
  <c r="AC110" i="6"/>
  <c r="AU111" i="5"/>
  <c r="AW111" s="1"/>
  <c r="AU110"/>
  <c r="W110"/>
  <c r="BC102" i="11"/>
  <c r="BP102" s="1"/>
  <c r="Y103" i="2"/>
  <c r="X101" i="10"/>
  <c r="S101"/>
  <c r="BC101" i="11"/>
  <c r="BP101" s="1"/>
  <c r="AV102" i="2"/>
  <c r="Y102"/>
  <c r="AU102" i="5"/>
  <c r="W102"/>
  <c r="AC101" i="6"/>
  <c r="BV102" i="4"/>
  <c r="AC101" i="1"/>
  <c r="K101"/>
  <c r="K101" i="6"/>
  <c r="O101"/>
  <c r="BA106" i="7"/>
  <c r="M104" i="8"/>
  <c r="G102" i="9"/>
  <c r="M102"/>
  <c r="W102"/>
  <c r="AC102"/>
  <c r="AU100" i="5"/>
  <c r="W100"/>
  <c r="AC99" i="6"/>
  <c r="W100" i="9"/>
  <c r="AC100" i="6"/>
  <c r="AU101" i="5"/>
  <c r="W101"/>
  <c r="AC98" i="6"/>
  <c r="AU99" i="5"/>
  <c r="W99"/>
  <c r="BC86" i="11"/>
  <c r="BP86" s="1"/>
  <c r="BC85"/>
  <c r="BP85" s="1"/>
  <c r="BC84"/>
  <c r="BP84" s="1"/>
  <c r="AV85" i="2"/>
  <c r="Y85"/>
  <c r="W90" i="5"/>
  <c r="AU90"/>
  <c r="AC89" i="6"/>
  <c r="AC88"/>
  <c r="W89" i="5"/>
  <c r="AU89"/>
  <c r="AC87" i="6"/>
  <c r="W88" i="5"/>
  <c r="AU88"/>
  <c r="AC86" i="6"/>
  <c r="W87" i="5"/>
  <c r="AU87"/>
  <c r="AC85" i="6"/>
  <c r="W86" i="5"/>
  <c r="AU86"/>
  <c r="AU85"/>
  <c r="W85"/>
  <c r="BC83" i="11"/>
  <c r="BP83" s="1"/>
  <c r="AU84" i="5"/>
  <c r="W84"/>
  <c r="AW84" s="1"/>
  <c r="AU83"/>
  <c r="W83"/>
  <c r="W70" i="9"/>
  <c r="X69" i="10"/>
  <c r="S69"/>
  <c r="BC69" i="11"/>
  <c r="BP69" s="1"/>
  <c r="Y70" i="2"/>
  <c r="AV70"/>
  <c r="AC69" i="1"/>
  <c r="K69"/>
  <c r="AE69" s="1"/>
  <c r="W70" i="5"/>
  <c r="AU70"/>
  <c r="AC69" i="6"/>
  <c r="BV70" i="4"/>
  <c r="K69" i="6"/>
  <c r="O69"/>
  <c r="BA74" i="7"/>
  <c r="M72" i="8"/>
  <c r="G70" i="9"/>
  <c r="M70"/>
  <c r="AC70"/>
  <c r="K68" i="1"/>
  <c r="AE68" s="1"/>
  <c r="W68" i="5"/>
  <c r="X67" i="10"/>
  <c r="BC67" i="11"/>
  <c r="BP67" s="1"/>
  <c r="Y68" i="2"/>
  <c r="AV68"/>
  <c r="AC67" i="1"/>
  <c r="K67"/>
  <c r="AU68" i="5"/>
  <c r="AC67" i="6"/>
  <c r="BV68" i="4"/>
  <c r="K67" i="6"/>
  <c r="O67"/>
  <c r="BA72" i="7"/>
  <c r="M70" i="8"/>
  <c r="M68" i="9"/>
  <c r="AC68"/>
  <c r="AU127" i="5"/>
  <c r="AC126" i="6"/>
  <c r="AU126" i="5"/>
  <c r="AU109"/>
  <c r="W109"/>
  <c r="AC108" i="6"/>
  <c r="AU108" i="5"/>
  <c r="W108"/>
  <c r="W108" i="9"/>
  <c r="AU103" i="5"/>
  <c r="W103"/>
  <c r="AC102" i="6"/>
  <c r="AU104" i="5"/>
  <c r="W104"/>
  <c r="AU107"/>
  <c r="W107"/>
  <c r="G110" i="9"/>
  <c r="M110"/>
  <c r="W110"/>
  <c r="G109"/>
  <c r="M109"/>
  <c r="W109"/>
  <c r="G108"/>
  <c r="M108"/>
  <c r="G107"/>
  <c r="M107"/>
  <c r="W107"/>
  <c r="AC107"/>
  <c r="BC76" i="11"/>
  <c r="BP76" s="1"/>
  <c r="AV77" i="2"/>
  <c r="Y77"/>
  <c r="AV76"/>
  <c r="Y76"/>
  <c r="AU76" i="5"/>
  <c r="W76"/>
  <c r="AC75" i="6"/>
  <c r="BV76" i="4"/>
  <c r="K75" i="6"/>
  <c r="W74" i="9"/>
  <c r="AC97" i="6"/>
  <c r="AU98" i="5"/>
  <c r="W98"/>
  <c r="AC96" i="6"/>
  <c r="AU97" i="5"/>
  <c r="W97"/>
  <c r="AC95" i="6"/>
  <c r="AU96" i="5"/>
  <c r="W96"/>
  <c r="AC94" i="6"/>
  <c r="AU95" i="5"/>
  <c r="W95"/>
  <c r="AC93" i="6"/>
  <c r="AC91"/>
  <c r="AU92" i="5"/>
  <c r="W92"/>
  <c r="M94" i="8"/>
  <c r="X126" i="10"/>
  <c r="S126"/>
  <c r="X125"/>
  <c r="S125"/>
  <c r="X124"/>
  <c r="S124"/>
  <c r="X123"/>
  <c r="S123"/>
  <c r="X122"/>
  <c r="S122"/>
  <c r="X121"/>
  <c r="S121"/>
  <c r="X120"/>
  <c r="S120"/>
  <c r="X119"/>
  <c r="S119"/>
  <c r="X118"/>
  <c r="S118"/>
  <c r="X116"/>
  <c r="S116"/>
  <c r="X115"/>
  <c r="S115"/>
  <c r="X114"/>
  <c r="S114"/>
  <c r="X113"/>
  <c r="S113"/>
  <c r="X112"/>
  <c r="S112"/>
  <c r="X111"/>
  <c r="S111"/>
  <c r="X110"/>
  <c r="S110"/>
  <c r="X109"/>
  <c r="S109"/>
  <c r="X108"/>
  <c r="S108"/>
  <c r="X107"/>
  <c r="S107"/>
  <c r="X106"/>
  <c r="S106"/>
  <c r="X103"/>
  <c r="S103"/>
  <c r="X102"/>
  <c r="S102"/>
  <c r="X100"/>
  <c r="S100"/>
  <c r="X99"/>
  <c r="S99"/>
  <c r="X98"/>
  <c r="S98"/>
  <c r="X97"/>
  <c r="S97"/>
  <c r="X96"/>
  <c r="S96"/>
  <c r="X95"/>
  <c r="S95"/>
  <c r="X94"/>
  <c r="S94"/>
  <c r="X93"/>
  <c r="S93"/>
  <c r="X91"/>
  <c r="S91"/>
  <c r="X90"/>
  <c r="S90"/>
  <c r="X89"/>
  <c r="S89"/>
  <c r="X88"/>
  <c r="S88"/>
  <c r="X87"/>
  <c r="S87"/>
  <c r="X86"/>
  <c r="S86"/>
  <c r="X85"/>
  <c r="S85"/>
  <c r="X84"/>
  <c r="S84"/>
  <c r="X83"/>
  <c r="S83"/>
  <c r="X82"/>
  <c r="S82"/>
  <c r="X81"/>
  <c r="S81"/>
  <c r="X80"/>
  <c r="S80"/>
  <c r="X79"/>
  <c r="S79"/>
  <c r="X78"/>
  <c r="S78"/>
  <c r="X77"/>
  <c r="S77"/>
  <c r="X76"/>
  <c r="S76"/>
  <c r="X75"/>
  <c r="S75"/>
  <c r="X74"/>
  <c r="S74"/>
  <c r="X73"/>
  <c r="S73"/>
  <c r="X72"/>
  <c r="S72"/>
  <c r="X71"/>
  <c r="S71"/>
  <c r="BC126" i="11"/>
  <c r="BP126" s="1"/>
  <c r="AV127" i="2"/>
  <c r="Y127"/>
  <c r="AC126" i="1"/>
  <c r="BC125" i="11"/>
  <c r="BP125" s="1"/>
  <c r="BR125" s="1"/>
  <c r="BX125" s="1"/>
  <c r="BZ125" s="1"/>
  <c r="AC122" i="1"/>
  <c r="BC121" i="11"/>
  <c r="BP121" s="1"/>
  <c r="AV122" i="2"/>
  <c r="Y122"/>
  <c r="AC121" i="1"/>
  <c r="BC120" i="11"/>
  <c r="BP120" s="1"/>
  <c r="AV121" i="2"/>
  <c r="Y121"/>
  <c r="AC120" i="1"/>
  <c r="BC119" i="11"/>
  <c r="BP119" s="1"/>
  <c r="AV120" i="2"/>
  <c r="Y120"/>
  <c r="AC119" i="1"/>
  <c r="BC118" i="11"/>
  <c r="BP118" s="1"/>
  <c r="AV119" i="2"/>
  <c r="Y119"/>
  <c r="AC118" i="1"/>
  <c r="BC116" i="11"/>
  <c r="BP116" s="1"/>
  <c r="AV117" i="2"/>
  <c r="Y117"/>
  <c r="AC116" i="1"/>
  <c r="AV116" i="2"/>
  <c r="Y116"/>
  <c r="AC115" i="1"/>
  <c r="BC114" i="11"/>
  <c r="BP114" s="1"/>
  <c r="AV115" i="2"/>
  <c r="Y115"/>
  <c r="AC114" i="1"/>
  <c r="BC113" i="11"/>
  <c r="BP113" s="1"/>
  <c r="AV114" i="2"/>
  <c r="Y114"/>
  <c r="AC113" i="1"/>
  <c r="BC112" i="11"/>
  <c r="BP112" s="1"/>
  <c r="AV113" i="2"/>
  <c r="Y113"/>
  <c r="AC112" i="1"/>
  <c r="BC111" i="11"/>
  <c r="BP111" s="1"/>
  <c r="AV112" i="2"/>
  <c r="Y112"/>
  <c r="AC111" i="1"/>
  <c r="BC110" i="11"/>
  <c r="BP110" s="1"/>
  <c r="AV111" i="2"/>
  <c r="Y111"/>
  <c r="AC110" i="1"/>
  <c r="BC109" i="11"/>
  <c r="BP109" s="1"/>
  <c r="AV110" i="2"/>
  <c r="Y110"/>
  <c r="AC109" i="1"/>
  <c r="BC108" i="11"/>
  <c r="BP108" s="1"/>
  <c r="AV109" i="2"/>
  <c r="Y109"/>
  <c r="AC108" i="1"/>
  <c r="BC107" i="11"/>
  <c r="BP107" s="1"/>
  <c r="AV108" i="2"/>
  <c r="Y108"/>
  <c r="AC107" i="1"/>
  <c r="BC106" i="11"/>
  <c r="BP106" s="1"/>
  <c r="AV107" i="2"/>
  <c r="Y107"/>
  <c r="AC106" i="1"/>
  <c r="BC103" i="11"/>
  <c r="BP103" s="1"/>
  <c r="AV104" i="2"/>
  <c r="Y104"/>
  <c r="AC103" i="1"/>
  <c r="AV103" i="2"/>
  <c r="AX103" s="1"/>
  <c r="AC102" i="1"/>
  <c r="BC100" i="11"/>
  <c r="BP100" s="1"/>
  <c r="AV101" i="2"/>
  <c r="Y101"/>
  <c r="AC100" i="1"/>
  <c r="BC99" i="11"/>
  <c r="BP99" s="1"/>
  <c r="AV100" i="2"/>
  <c r="Y100"/>
  <c r="AC99" i="1"/>
  <c r="BC98" i="11"/>
  <c r="BP98" s="1"/>
  <c r="AV99" i="2"/>
  <c r="Y99"/>
  <c r="AC98" i="1"/>
  <c r="BC97" i="11"/>
  <c r="BP97" s="1"/>
  <c r="AV98" i="2"/>
  <c r="Y98"/>
  <c r="AC97" i="1"/>
  <c r="BC96" i="11"/>
  <c r="BP96" s="1"/>
  <c r="AV97" i="2"/>
  <c r="Y97"/>
  <c r="AC96" i="1"/>
  <c r="BC95" i="11"/>
  <c r="BP95" s="1"/>
  <c r="AV96" i="2"/>
  <c r="Y96"/>
  <c r="AC95" i="1"/>
  <c r="BC94" i="11"/>
  <c r="BP94" s="1"/>
  <c r="AV95" i="2"/>
  <c r="Y95"/>
  <c r="AC94" i="1"/>
  <c r="AV94" i="2"/>
  <c r="AX94" s="1"/>
  <c r="AC93" i="1"/>
  <c r="BC90" i="11"/>
  <c r="BP90" s="1"/>
  <c r="AV91" i="2"/>
  <c r="Y91"/>
  <c r="AC90" i="1"/>
  <c r="BC89" i="11"/>
  <c r="BP89" s="1"/>
  <c r="AV90" i="2"/>
  <c r="Y90"/>
  <c r="AC89" i="1"/>
  <c r="BC88" i="11"/>
  <c r="BP88" s="1"/>
  <c r="AV89" i="2"/>
  <c r="Y89"/>
  <c r="AC88" i="1"/>
  <c r="BC87" i="11"/>
  <c r="BP87" s="1"/>
  <c r="AV88" i="2"/>
  <c r="Y88"/>
  <c r="AC87" i="1"/>
  <c r="AV87" i="2"/>
  <c r="Y87"/>
  <c r="AC86" i="1"/>
  <c r="AV86" i="2"/>
  <c r="Y86"/>
  <c r="AC85" i="1"/>
  <c r="AC84"/>
  <c r="AV84" i="2"/>
  <c r="Y84"/>
  <c r="AC83" i="1"/>
  <c r="BC82" i="11"/>
  <c r="BP82" s="1"/>
  <c r="AV83" i="2"/>
  <c r="Y83"/>
  <c r="AC82" i="1"/>
  <c r="BC81" i="11"/>
  <c r="BP81" s="1"/>
  <c r="AV82" i="2"/>
  <c r="Y82"/>
  <c r="AC81" i="1"/>
  <c r="BC80" i="11"/>
  <c r="BP80" s="1"/>
  <c r="AV81" i="2"/>
  <c r="Y81"/>
  <c r="AC80" i="1"/>
  <c r="BC79" i="11"/>
  <c r="BP79" s="1"/>
  <c r="AV80" i="2"/>
  <c r="Y80"/>
  <c r="AC79" i="1"/>
  <c r="BC78" i="11"/>
  <c r="BP78" s="1"/>
  <c r="AV79" i="2"/>
  <c r="Y79"/>
  <c r="AC78" i="1"/>
  <c r="BC77" i="11"/>
  <c r="BP77" s="1"/>
  <c r="AV78" i="2"/>
  <c r="Y78"/>
  <c r="AC77" i="1"/>
  <c r="AC76"/>
  <c r="BC75" i="11"/>
  <c r="BP75" s="1"/>
  <c r="AC75" i="1"/>
  <c r="BC74" i="11"/>
  <c r="BP74" s="1"/>
  <c r="AV75" i="2"/>
  <c r="Y75"/>
  <c r="AC74" i="1"/>
  <c r="BC73" i="11"/>
  <c r="BP73" s="1"/>
  <c r="AV74" i="2"/>
  <c r="Y74"/>
  <c r="AC73" i="1"/>
  <c r="BC72" i="11"/>
  <c r="BP72" s="1"/>
  <c r="Y73" i="2"/>
  <c r="AV73"/>
  <c r="AC72" i="1"/>
  <c r="BC71" i="11"/>
  <c r="BP71" s="1"/>
  <c r="AV72" i="2"/>
  <c r="Y72"/>
  <c r="AC71" i="1"/>
  <c r="K126"/>
  <c r="K123"/>
  <c r="AE123" s="1"/>
  <c r="K122"/>
  <c r="AE122" s="1"/>
  <c r="K121"/>
  <c r="AE121" s="1"/>
  <c r="K120"/>
  <c r="AE120" s="1"/>
  <c r="K119"/>
  <c r="K118"/>
  <c r="AE118" s="1"/>
  <c r="K116"/>
  <c r="K115"/>
  <c r="AE115" s="1"/>
  <c r="K114"/>
  <c r="AE114" s="1"/>
  <c r="K113"/>
  <c r="AE113" s="1"/>
  <c r="K112"/>
  <c r="K111"/>
  <c r="AE111" s="1"/>
  <c r="K110"/>
  <c r="K109"/>
  <c r="K108"/>
  <c r="K106"/>
  <c r="AE106" s="1"/>
  <c r="K103"/>
  <c r="K102"/>
  <c r="AE102" s="1"/>
  <c r="K100"/>
  <c r="K99"/>
  <c r="K98"/>
  <c r="K97"/>
  <c r="AE97" s="1"/>
  <c r="K96"/>
  <c r="AE96" s="1"/>
  <c r="K95"/>
  <c r="AE95" s="1"/>
  <c r="K94"/>
  <c r="K93"/>
  <c r="AE93" s="1"/>
  <c r="K91"/>
  <c r="K90"/>
  <c r="K89"/>
  <c r="K88"/>
  <c r="AE88" s="1"/>
  <c r="K87"/>
  <c r="AE87" s="1"/>
  <c r="K86"/>
  <c r="AE86" s="1"/>
  <c r="K85"/>
  <c r="K84"/>
  <c r="AE84" s="1"/>
  <c r="K83"/>
  <c r="K82"/>
  <c r="K81"/>
  <c r="K80"/>
  <c r="AE80" s="1"/>
  <c r="K79"/>
  <c r="AE79" s="1"/>
  <c r="K78"/>
  <c r="AE78" s="1"/>
  <c r="K77"/>
  <c r="K76"/>
  <c r="K75"/>
  <c r="K74"/>
  <c r="K73"/>
  <c r="K72"/>
  <c r="AE72" s="1"/>
  <c r="K71"/>
  <c r="BV127" i="4"/>
  <c r="BV126"/>
  <c r="BV125"/>
  <c r="BV124"/>
  <c r="BV123"/>
  <c r="AC122" i="6"/>
  <c r="BV122" i="4"/>
  <c r="AC121" i="6"/>
  <c r="BV121" i="4"/>
  <c r="AC120" i="6"/>
  <c r="BV120" i="4"/>
  <c r="BV119"/>
  <c r="BV117"/>
  <c r="BV116"/>
  <c r="BV115"/>
  <c r="BV114"/>
  <c r="BV113"/>
  <c r="AU112" i="5"/>
  <c r="W112"/>
  <c r="BV112" i="4"/>
  <c r="AC111" i="6"/>
  <c r="BV111" i="4"/>
  <c r="BV110"/>
  <c r="AC109" i="6"/>
  <c r="BV109" i="4"/>
  <c r="BV108"/>
  <c r="AC107" i="6"/>
  <c r="BV107" i="4"/>
  <c r="AC106" i="6"/>
  <c r="BV104" i="4"/>
  <c r="BV103"/>
  <c r="BV101"/>
  <c r="BV100"/>
  <c r="BV99"/>
  <c r="BV98"/>
  <c r="BV97"/>
  <c r="BV96"/>
  <c r="BV95"/>
  <c r="BV94"/>
  <c r="BV92"/>
  <c r="BV91"/>
  <c r="BV90"/>
  <c r="BV89"/>
  <c r="BV88"/>
  <c r="BV87"/>
  <c r="BV86"/>
  <c r="BV85"/>
  <c r="AC84" i="6"/>
  <c r="BV84" i="4"/>
  <c r="AC83" i="6"/>
  <c r="BV83" i="4"/>
  <c r="AC82" i="6"/>
  <c r="BV82" i="4"/>
  <c r="BV81"/>
  <c r="AC80" i="6"/>
  <c r="BV80" i="4"/>
  <c r="BV79"/>
  <c r="BV78"/>
  <c r="AU77" i="5"/>
  <c r="W77"/>
  <c r="BV77" i="4"/>
  <c r="AU75" i="5"/>
  <c r="W75"/>
  <c r="AC74" i="6"/>
  <c r="BV75" i="4"/>
  <c r="AU74" i="5"/>
  <c r="W74"/>
  <c r="AC73" i="6"/>
  <c r="BV74" i="4"/>
  <c r="W73" i="5"/>
  <c r="AU73"/>
  <c r="AC72" i="6"/>
  <c r="BV73" i="4"/>
  <c r="AU72" i="5"/>
  <c r="W72"/>
  <c r="AC71" i="6"/>
  <c r="BV72" i="4"/>
  <c r="K126" i="6"/>
  <c r="AE126" s="1"/>
  <c r="O126"/>
  <c r="O125"/>
  <c r="K123"/>
  <c r="O123"/>
  <c r="K122"/>
  <c r="O122"/>
  <c r="K121"/>
  <c r="O121"/>
  <c r="K120"/>
  <c r="O120"/>
  <c r="K119"/>
  <c r="O119"/>
  <c r="K118"/>
  <c r="O118"/>
  <c r="K116"/>
  <c r="O116"/>
  <c r="K115"/>
  <c r="O115"/>
  <c r="K114"/>
  <c r="O114"/>
  <c r="K113"/>
  <c r="O113"/>
  <c r="K112"/>
  <c r="O112"/>
  <c r="K111"/>
  <c r="O111"/>
  <c r="K110"/>
  <c r="O110"/>
  <c r="K109"/>
  <c r="O109"/>
  <c r="K108"/>
  <c r="O108"/>
  <c r="K107"/>
  <c r="O107"/>
  <c r="K106"/>
  <c r="O106"/>
  <c r="K103"/>
  <c r="O103"/>
  <c r="K102"/>
  <c r="O102"/>
  <c r="K100"/>
  <c r="O100"/>
  <c r="K99"/>
  <c r="O99"/>
  <c r="K98"/>
  <c r="O98"/>
  <c r="K97"/>
  <c r="O97"/>
  <c r="K96"/>
  <c r="O96"/>
  <c r="K95"/>
  <c r="O95"/>
  <c r="K94"/>
  <c r="O94"/>
  <c r="K93"/>
  <c r="O93"/>
  <c r="K91"/>
  <c r="O91"/>
  <c r="K90"/>
  <c r="O90"/>
  <c r="K89"/>
  <c r="O89"/>
  <c r="K88"/>
  <c r="O88"/>
  <c r="K87"/>
  <c r="O87"/>
  <c r="K86"/>
  <c r="O86"/>
  <c r="K85"/>
  <c r="O85"/>
  <c r="K84"/>
  <c r="O84"/>
  <c r="K83"/>
  <c r="O83"/>
  <c r="K82"/>
  <c r="O82"/>
  <c r="K81"/>
  <c r="O81"/>
  <c r="K80"/>
  <c r="O80"/>
  <c r="K79"/>
  <c r="O79"/>
  <c r="K78"/>
  <c r="AE78" s="1"/>
  <c r="O75"/>
  <c r="AE75" s="1"/>
  <c r="K74"/>
  <c r="O74"/>
  <c r="K73"/>
  <c r="O73"/>
  <c r="K72"/>
  <c r="O72"/>
  <c r="K71"/>
  <c r="O71"/>
  <c r="BA131" i="7"/>
  <c r="M129" i="8"/>
  <c r="M128"/>
  <c r="BA129" i="7"/>
  <c r="M127" i="8"/>
  <c r="BA128" i="7"/>
  <c r="M126" i="8"/>
  <c r="BA127" i="7"/>
  <c r="M125" i="8"/>
  <c r="BA126" i="7"/>
  <c r="M124" i="8"/>
  <c r="BA125" i="7"/>
  <c r="M123" i="8"/>
  <c r="BA124" i="7"/>
  <c r="M122" i="8"/>
  <c r="BA123" i="7"/>
  <c r="M121" i="8"/>
  <c r="BA121" i="7"/>
  <c r="M119" i="8"/>
  <c r="BA120" i="7"/>
  <c r="M118" i="8"/>
  <c r="BA119" i="7"/>
  <c r="M117" i="8"/>
  <c r="BA118" i="7"/>
  <c r="M116" i="8"/>
  <c r="AG116" s="1"/>
  <c r="BA117" i="7"/>
  <c r="M115" i="8"/>
  <c r="BA116" i="7"/>
  <c r="M114" i="8"/>
  <c r="BA115" i="7"/>
  <c r="M113" i="8"/>
  <c r="BA114" i="7"/>
  <c r="M112" i="8"/>
  <c r="BA113" i="7"/>
  <c r="M111" i="8"/>
  <c r="BA112" i="7"/>
  <c r="M110" i="8"/>
  <c r="BA111" i="7"/>
  <c r="M109" i="8"/>
  <c r="BA108" i="7"/>
  <c r="M106" i="8"/>
  <c r="AG106" s="1"/>
  <c r="BA107" i="7"/>
  <c r="M105" i="8"/>
  <c r="BA105" i="7"/>
  <c r="M103" i="8"/>
  <c r="BA104" i="7"/>
  <c r="M102" i="8"/>
  <c r="BA103" i="7"/>
  <c r="M101" i="8"/>
  <c r="BA102" i="7"/>
  <c r="M100" i="8"/>
  <c r="BA101" i="7"/>
  <c r="M99" i="8"/>
  <c r="BA100" i="7"/>
  <c r="M98" i="8"/>
  <c r="BA99" i="7"/>
  <c r="M97" i="8"/>
  <c r="BA95" i="7"/>
  <c r="M93" i="8"/>
  <c r="M92"/>
  <c r="BA93" i="7"/>
  <c r="M91" i="8"/>
  <c r="AG91" s="1"/>
  <c r="BA92" i="7"/>
  <c r="M90" i="8"/>
  <c r="BA91" i="7"/>
  <c r="M89" i="8"/>
  <c r="BA90" i="7"/>
  <c r="M88" i="8"/>
  <c r="BA89" i="7"/>
  <c r="M87" i="8"/>
  <c r="BA88" i="7"/>
  <c r="M86" i="8"/>
  <c r="BA87" i="7"/>
  <c r="M85" i="8"/>
  <c r="M83"/>
  <c r="BA84" i="7"/>
  <c r="M82" i="8"/>
  <c r="BA83" i="7"/>
  <c r="M81" i="8"/>
  <c r="BA82" i="7"/>
  <c r="M80" i="8"/>
  <c r="BA81" i="7"/>
  <c r="M79" i="8"/>
  <c r="BA80" i="7"/>
  <c r="M78" i="8"/>
  <c r="M77"/>
  <c r="BA78" i="7"/>
  <c r="M76" i="8"/>
  <c r="BA77" i="7"/>
  <c r="M75" i="8"/>
  <c r="BA76" i="7"/>
  <c r="M74" i="8"/>
  <c r="BA75" i="7"/>
  <c r="M73" i="8"/>
  <c r="M71"/>
  <c r="M69"/>
  <c r="W127" i="9"/>
  <c r="M127"/>
  <c r="G127"/>
  <c r="W126"/>
  <c r="M126"/>
  <c r="G126"/>
  <c r="W124"/>
  <c r="M124"/>
  <c r="G124"/>
  <c r="AE124" s="1"/>
  <c r="W123"/>
  <c r="M123"/>
  <c r="G123"/>
  <c r="W122"/>
  <c r="M122"/>
  <c r="G122"/>
  <c r="W121"/>
  <c r="M121"/>
  <c r="AE121" s="1"/>
  <c r="G121"/>
  <c r="W120"/>
  <c r="M120"/>
  <c r="G120"/>
  <c r="AE120" s="1"/>
  <c r="W119"/>
  <c r="M119"/>
  <c r="G119"/>
  <c r="W117"/>
  <c r="M117"/>
  <c r="G117"/>
  <c r="AE117" s="1"/>
  <c r="W116"/>
  <c r="M116"/>
  <c r="G116"/>
  <c r="W115"/>
  <c r="M115"/>
  <c r="G115"/>
  <c r="AE115" s="1"/>
  <c r="W114"/>
  <c r="M114"/>
  <c r="AE114" s="1"/>
  <c r="G114"/>
  <c r="W113"/>
  <c r="M113"/>
  <c r="G113"/>
  <c r="W112"/>
  <c r="M112"/>
  <c r="G112"/>
  <c r="W111"/>
  <c r="M111"/>
  <c r="G111"/>
  <c r="AE111" s="1"/>
  <c r="W104"/>
  <c r="M104"/>
  <c r="AE104" s="1"/>
  <c r="G104"/>
  <c r="W103"/>
  <c r="M103"/>
  <c r="G103"/>
  <c r="AE103" s="1"/>
  <c r="W101"/>
  <c r="M101"/>
  <c r="AE101" s="1"/>
  <c r="G101"/>
  <c r="M100"/>
  <c r="AE100" s="1"/>
  <c r="G100"/>
  <c r="W99"/>
  <c r="M99"/>
  <c r="G99"/>
  <c r="AE99" s="1"/>
  <c r="W98"/>
  <c r="M98"/>
  <c r="AE98" s="1"/>
  <c r="G98"/>
  <c r="W97"/>
  <c r="M97"/>
  <c r="G97"/>
  <c r="W96"/>
  <c r="M96"/>
  <c r="AE96" s="1"/>
  <c r="G96"/>
  <c r="W95"/>
  <c r="M95"/>
  <c r="G95"/>
  <c r="W94"/>
  <c r="M94"/>
  <c r="G94"/>
  <c r="W92"/>
  <c r="G92"/>
  <c r="W91"/>
  <c r="M91"/>
  <c r="G91"/>
  <c r="W90"/>
  <c r="M90"/>
  <c r="G90"/>
  <c r="W89"/>
  <c r="M89"/>
  <c r="G89"/>
  <c r="AE89" s="1"/>
  <c r="W88"/>
  <c r="M88"/>
  <c r="AE88" s="1"/>
  <c r="G88"/>
  <c r="W87"/>
  <c r="M87"/>
  <c r="G87"/>
  <c r="AE87" s="1"/>
  <c r="W86"/>
  <c r="M86"/>
  <c r="G86"/>
  <c r="W85"/>
  <c r="M85"/>
  <c r="G85"/>
  <c r="AE85" s="1"/>
  <c r="W84"/>
  <c r="M84"/>
  <c r="AE84" s="1"/>
  <c r="G84"/>
  <c r="W83"/>
  <c r="M83"/>
  <c r="G83"/>
  <c r="W82"/>
  <c r="M82"/>
  <c r="AE82" s="1"/>
  <c r="G82"/>
  <c r="W81"/>
  <c r="M81"/>
  <c r="G81"/>
  <c r="AE81" s="1"/>
  <c r="W80"/>
  <c r="M80"/>
  <c r="AE80" s="1"/>
  <c r="G80"/>
  <c r="W79"/>
  <c r="M79"/>
  <c r="G79"/>
  <c r="AE79" s="1"/>
  <c r="W78"/>
  <c r="M78"/>
  <c r="AE78" s="1"/>
  <c r="G78"/>
  <c r="W77"/>
  <c r="M77"/>
  <c r="G77"/>
  <c r="AE77" s="1"/>
  <c r="W76"/>
  <c r="M76"/>
  <c r="AE76" s="1"/>
  <c r="G76"/>
  <c r="W75"/>
  <c r="M75"/>
  <c r="G75"/>
  <c r="AE75" s="1"/>
  <c r="M74"/>
  <c r="G74"/>
  <c r="W73"/>
  <c r="M73"/>
  <c r="G73"/>
  <c r="W72"/>
  <c r="M72"/>
  <c r="G72"/>
  <c r="AE72" s="1"/>
  <c r="W71"/>
  <c r="M71"/>
  <c r="AE71" s="1"/>
  <c r="G71"/>
  <c r="W69"/>
  <c r="M69"/>
  <c r="G69"/>
  <c r="W67"/>
  <c r="M67"/>
  <c r="AE67" s="1"/>
  <c r="BV133" i="4"/>
  <c r="AC83" i="9"/>
  <c r="AC70" i="1"/>
  <c r="K70"/>
  <c r="AE70" s="1"/>
  <c r="AC99" i="9"/>
  <c r="AE113"/>
  <c r="AE127"/>
  <c r="AE122"/>
  <c r="AE116"/>
  <c r="BC66" i="11"/>
  <c r="BP66" s="1"/>
  <c r="BC68"/>
  <c r="BP68" s="1"/>
  <c r="BC70"/>
  <c r="BP70" s="1"/>
  <c r="K66" i="1"/>
  <c r="AC100" i="9"/>
  <c r="AC91"/>
  <c r="AC81"/>
  <c r="W71" i="5"/>
  <c r="AU71"/>
  <c r="AW71" s="1"/>
  <c r="K70" i="6"/>
  <c r="O70"/>
  <c r="K68"/>
  <c r="O68"/>
  <c r="K66"/>
  <c r="O66"/>
  <c r="AC70"/>
  <c r="AC68"/>
  <c r="AC66"/>
  <c r="BV67" i="4"/>
  <c r="X70" i="10"/>
  <c r="S70"/>
  <c r="X68"/>
  <c r="S68"/>
  <c r="X66"/>
  <c r="S66"/>
  <c r="AV71" i="2"/>
  <c r="Y71"/>
  <c r="Y69"/>
  <c r="AV69"/>
  <c r="AC68" i="1"/>
  <c r="Y67" i="2"/>
  <c r="AV67"/>
  <c r="AC66" i="1"/>
  <c r="BV71" i="4"/>
  <c r="W69" i="5"/>
  <c r="AU69"/>
  <c r="BV69" i="4"/>
  <c r="W67" i="5"/>
  <c r="AU67"/>
  <c r="AW67" s="1"/>
  <c r="BA73" i="7"/>
  <c r="BA71"/>
  <c r="AC127" i="9"/>
  <c r="AC126"/>
  <c r="AC125"/>
  <c r="AC124"/>
  <c r="AC123"/>
  <c r="AC122"/>
  <c r="AC121"/>
  <c r="AC120"/>
  <c r="AC119"/>
  <c r="AC117"/>
  <c r="AC116"/>
  <c r="AC115"/>
  <c r="AC114"/>
  <c r="AC113"/>
  <c r="AC112"/>
  <c r="AC111"/>
  <c r="AC110"/>
  <c r="AC109"/>
  <c r="AC104"/>
  <c r="AC103"/>
  <c r="AC108"/>
  <c r="AC101"/>
  <c r="AC98"/>
  <c r="AC97"/>
  <c r="AC96"/>
  <c r="AC95"/>
  <c r="AC94"/>
  <c r="AC92"/>
  <c r="AC90"/>
  <c r="AC89"/>
  <c r="AC88"/>
  <c r="AC87"/>
  <c r="AC86"/>
  <c r="AC85"/>
  <c r="AC84"/>
  <c r="AC82"/>
  <c r="AC80"/>
  <c r="AC79"/>
  <c r="AC78"/>
  <c r="AC77"/>
  <c r="AC76"/>
  <c r="AC75"/>
  <c r="AC73"/>
  <c r="AC72"/>
  <c r="AC71"/>
  <c r="AC69"/>
  <c r="AC67"/>
  <c r="AE76" i="1"/>
  <c r="AW77" i="5"/>
  <c r="AX72" i="2"/>
  <c r="AX81"/>
  <c r="AX85"/>
  <c r="AX93"/>
  <c r="AX74"/>
  <c r="AX75"/>
  <c r="AX79"/>
  <c r="AX83"/>
  <c r="AX89"/>
  <c r="AX90"/>
  <c r="AX96"/>
  <c r="AX99"/>
  <c r="AX100"/>
  <c r="AX104"/>
  <c r="BR103" i="11" s="1"/>
  <c r="AX109" i="2"/>
  <c r="BR108" i="11" s="1"/>
  <c r="AX113" i="2"/>
  <c r="AX119"/>
  <c r="AX127"/>
  <c r="BR126" i="11" s="1"/>
  <c r="BX126" s="1"/>
  <c r="AX102" i="2"/>
  <c r="AX70"/>
  <c r="AX68"/>
  <c r="BR67" i="11" s="1"/>
  <c r="AX77" i="2"/>
  <c r="AX118"/>
  <c r="AX92"/>
  <c r="AX80"/>
  <c r="AX82"/>
  <c r="AX84"/>
  <c r="AX110"/>
  <c r="AX112"/>
  <c r="AX114"/>
  <c r="AX116"/>
  <c r="AX117"/>
  <c r="AX120"/>
  <c r="BR119" i="11" s="1"/>
  <c r="AX122" i="2"/>
  <c r="AE66" i="1"/>
  <c r="AE74"/>
  <c r="AE75"/>
  <c r="AE82"/>
  <c r="AE83"/>
  <c r="AE90"/>
  <c r="AE91"/>
  <c r="AE99"/>
  <c r="AE100"/>
  <c r="AE109"/>
  <c r="AE110"/>
  <c r="AE119"/>
  <c r="AE101"/>
  <c r="AE67"/>
  <c r="AE73"/>
  <c r="AE77"/>
  <c r="AE81"/>
  <c r="AE85"/>
  <c r="AE89"/>
  <c r="AE94"/>
  <c r="AE98"/>
  <c r="AE103"/>
  <c r="AE108"/>
  <c r="AE112"/>
  <c r="AE116"/>
  <c r="AE126"/>
  <c r="AW120" i="5"/>
  <c r="BP120" i="4" s="1"/>
  <c r="BX120" s="1"/>
  <c r="BZ120" s="1"/>
  <c r="AW73" i="5"/>
  <c r="AW69"/>
  <c r="AW90"/>
  <c r="AW82"/>
  <c r="BP82" i="4" s="1"/>
  <c r="BX82" s="1"/>
  <c r="BZ82" s="1"/>
  <c r="AW70" i="5"/>
  <c r="AE71" i="6"/>
  <c r="AE84"/>
  <c r="AE93"/>
  <c r="AE102"/>
  <c r="AE111"/>
  <c r="AE119"/>
  <c r="AE120"/>
  <c r="AE117"/>
  <c r="AE68"/>
  <c r="AE67"/>
  <c r="AE66"/>
  <c r="AE82"/>
  <c r="AE95"/>
  <c r="AE113"/>
  <c r="AE118"/>
  <c r="AE122"/>
  <c r="AE102" i="9"/>
  <c r="AE92"/>
  <c r="AE110"/>
  <c r="AE109"/>
  <c r="AE70"/>
  <c r="AE108"/>
  <c r="AE118"/>
  <c r="AE93"/>
  <c r="AE107"/>
  <c r="AE68"/>
  <c r="AG83" i="8"/>
  <c r="AG101"/>
  <c r="BC103" i="7" s="1"/>
  <c r="BG103" s="1"/>
  <c r="BI103" s="1"/>
  <c r="AG81" i="8"/>
  <c r="AG105"/>
  <c r="BC107" i="7" s="1"/>
  <c r="BG107" s="1"/>
  <c r="BI107" s="1"/>
  <c r="AG95" i="8"/>
  <c r="BC97" i="7" s="1"/>
  <c r="BG97" s="1"/>
  <c r="BI97" s="1"/>
  <c r="AG123" i="8"/>
  <c r="AG99"/>
  <c r="AG86"/>
  <c r="BC88" i="7" s="1"/>
  <c r="BG88" s="1"/>
  <c r="BI88" s="1"/>
  <c r="AG126" i="8"/>
  <c r="BC128" i="7" s="1"/>
  <c r="BG128" s="1"/>
  <c r="BI128" s="1"/>
  <c r="AG111" i="8"/>
  <c r="BC113" i="7" s="1"/>
  <c r="BG113" s="1"/>
  <c r="BI113" s="1"/>
  <c r="AG97" i="8"/>
  <c r="AG121"/>
  <c r="BC123" i="7" s="1"/>
  <c r="BG123" s="1"/>
  <c r="BI123" s="1"/>
  <c r="AG92" i="8"/>
  <c r="AG120"/>
  <c r="BC122" i="7" s="1"/>
  <c r="BG122" s="1"/>
  <c r="BI122" s="1"/>
  <c r="AG114" i="8"/>
  <c r="AG118"/>
  <c r="BC120" i="7" s="1"/>
  <c r="BG120" s="1"/>
  <c r="BI120" s="1"/>
  <c r="AG113" i="8"/>
  <c r="AG93"/>
  <c r="BC95" i="7" s="1"/>
  <c r="BG95" s="1"/>
  <c r="BI95" s="1"/>
  <c r="AG119" i="8"/>
  <c r="AG128"/>
  <c r="BC130" i="7" s="1"/>
  <c r="BG130" s="1"/>
  <c r="BI130" s="1"/>
  <c r="AG88" i="8"/>
  <c r="AG98"/>
  <c r="BC100" i="7" s="1"/>
  <c r="BG100" s="1"/>
  <c r="BI100" s="1"/>
  <c r="AG117" i="8"/>
  <c r="AG103"/>
  <c r="BC105" i="7" s="1"/>
  <c r="BG105" s="1"/>
  <c r="BI105" s="1"/>
  <c r="AG74" i="8"/>
  <c r="BC76" i="7" s="1"/>
  <c r="BG76" s="1"/>
  <c r="BI76" s="1"/>
  <c r="AG96" i="8"/>
  <c r="AG102"/>
  <c r="AG127"/>
  <c r="BC129" i="7" s="1"/>
  <c r="BG129" s="1"/>
  <c r="BI129" s="1"/>
  <c r="AG78" i="8"/>
  <c r="AG122"/>
  <c r="BC124" i="7" s="1"/>
  <c r="BG124" s="1"/>
  <c r="BI124" s="1"/>
  <c r="AG129" i="8"/>
  <c r="BC131" i="7" s="1"/>
  <c r="BG131" s="1"/>
  <c r="BI131" s="1"/>
  <c r="AG90" i="8"/>
  <c r="AG73"/>
  <c r="BC75" i="7" s="1"/>
  <c r="BG75" s="1"/>
  <c r="BI75" s="1"/>
  <c r="AG115" i="8"/>
  <c r="BC117" i="7" s="1"/>
  <c r="BG117" s="1"/>
  <c r="BI117" s="1"/>
  <c r="AG75" i="8"/>
  <c r="BC77" i="7" s="1"/>
  <c r="BG77" s="1"/>
  <c r="BI77" s="1"/>
  <c r="AG109" i="8"/>
  <c r="BC111" i="7" s="1"/>
  <c r="BG111" s="1"/>
  <c r="BI111" s="1"/>
  <c r="AG110" i="8"/>
  <c r="AG80"/>
  <c r="BC82" i="7" s="1"/>
  <c r="BG82" s="1"/>
  <c r="BI82" s="1"/>
  <c r="AG125" i="8"/>
  <c r="BC127" i="7" s="1"/>
  <c r="BG127" s="1"/>
  <c r="BI127" s="1"/>
  <c r="AG87" i="8"/>
  <c r="AG79"/>
  <c r="AG85"/>
  <c r="BC87" i="7" s="1"/>
  <c r="BG87" s="1"/>
  <c r="BI87" s="1"/>
  <c r="AG94" i="8"/>
  <c r="BC96" i="7" s="1"/>
  <c r="BG96" s="1"/>
  <c r="BI96" s="1"/>
  <c r="AG124" i="8"/>
  <c r="BC126" i="7" s="1"/>
  <c r="BG126" s="1"/>
  <c r="BI126" s="1"/>
  <c r="AG89" i="8"/>
  <c r="AG77"/>
  <c r="BC79" i="7" s="1"/>
  <c r="BG79" s="1"/>
  <c r="BI79" s="1"/>
  <c r="AG104" i="8"/>
  <c r="AG112"/>
  <c r="BC114" i="7" s="1"/>
  <c r="BG114" s="1"/>
  <c r="BI114" s="1"/>
  <c r="AG71" i="8"/>
  <c r="AG70"/>
  <c r="BC72" i="7" s="1"/>
  <c r="BG72" s="1"/>
  <c r="BI72" s="1"/>
  <c r="AG69" i="8"/>
  <c r="AG72"/>
  <c r="AE73" i="9"/>
  <c r="AE69"/>
  <c r="AX101" i="2"/>
  <c r="BR100" i="11" s="1"/>
  <c r="AW118" i="5"/>
  <c r="BP118" i="4" s="1"/>
  <c r="BX118" s="1"/>
  <c r="BZ118" s="1"/>
  <c r="AE123" i="9"/>
  <c r="AW109" i="5"/>
  <c r="AX108" i="2"/>
  <c r="AE107" i="1"/>
  <c r="AX107" i="2"/>
  <c r="AW96" i="5"/>
  <c r="BP96" i="4" s="1"/>
  <c r="BX96" s="1"/>
  <c r="BZ96" s="1"/>
  <c r="AW93" i="5"/>
  <c r="AW92"/>
  <c r="AE90" i="9"/>
  <c r="AE86" i="6"/>
  <c r="AX86" i="2"/>
  <c r="AE86" i="9"/>
  <c r="AE126"/>
  <c r="AE125"/>
  <c r="AX124" i="2"/>
  <c r="AE71" i="1"/>
  <c r="AW72" i="5"/>
  <c r="AX73" i="2" l="1"/>
  <c r="AX95"/>
  <c r="AX121"/>
  <c r="BZ126" i="11"/>
  <c r="AX71" i="2"/>
  <c r="BR70" i="11" s="1"/>
  <c r="BP69" i="4"/>
  <c r="BX69" s="1"/>
  <c r="BP72"/>
  <c r="BX72" s="1"/>
  <c r="BZ72" s="1"/>
  <c r="BP93"/>
  <c r="BX93" s="1"/>
  <c r="BZ93" s="1"/>
  <c r="BP109"/>
  <c r="BX109" s="1"/>
  <c r="BZ109" s="1"/>
  <c r="BP90"/>
  <c r="BX90" s="1"/>
  <c r="BZ90" s="1"/>
  <c r="BP73"/>
  <c r="BX73" s="1"/>
  <c r="BZ73" s="1"/>
  <c r="BP111"/>
  <c r="BX111" s="1"/>
  <c r="BP84"/>
  <c r="BX84" s="1"/>
  <c r="AW103" i="5"/>
  <c r="BP71" i="4"/>
  <c r="BX71" s="1"/>
  <c r="BZ71" s="1"/>
  <c r="BC71" i="7"/>
  <c r="BG71" s="1"/>
  <c r="BI71" s="1"/>
  <c r="BC112"/>
  <c r="BG112" s="1"/>
  <c r="BI112" s="1"/>
  <c r="BC104"/>
  <c r="BG104" s="1"/>
  <c r="BI104" s="1"/>
  <c r="BC119"/>
  <c r="BG119" s="1"/>
  <c r="BI119" s="1"/>
  <c r="BC121"/>
  <c r="BG121" s="1"/>
  <c r="BI121" s="1"/>
  <c r="BC115"/>
  <c r="BG115" s="1"/>
  <c r="BI115" s="1"/>
  <c r="BC116"/>
  <c r="BG116" s="1"/>
  <c r="BI116" s="1"/>
  <c r="BC99"/>
  <c r="BG99" s="1"/>
  <c r="BI99" s="1"/>
  <c r="BC101"/>
  <c r="BG101" s="1"/>
  <c r="BI101" s="1"/>
  <c r="AW107" i="5"/>
  <c r="BP107" i="4" s="1"/>
  <c r="BX107" s="1"/>
  <c r="BZ107" s="1"/>
  <c r="AE125" i="6"/>
  <c r="AG84" i="8"/>
  <c r="BC86" i="7" s="1"/>
  <c r="BG86" s="1"/>
  <c r="BI86" s="1"/>
  <c r="AG76" i="8"/>
  <c r="BC78" i="7" s="1"/>
  <c r="BG78" s="1"/>
  <c r="BI78" s="1"/>
  <c r="AG82" i="8"/>
  <c r="AW97" i="5"/>
  <c r="BP97" i="4" s="1"/>
  <c r="BX97" s="1"/>
  <c r="BZ97" s="1"/>
  <c r="AW95" i="5"/>
  <c r="BP95" i="4" s="1"/>
  <c r="BX95" s="1"/>
  <c r="BZ95" s="1"/>
  <c r="BC93" i="7"/>
  <c r="BG93" s="1"/>
  <c r="BI93" s="1"/>
  <c r="AG100" i="8"/>
  <c r="BC102" i="7" s="1"/>
  <c r="BG102" s="1"/>
  <c r="BI102" s="1"/>
  <c r="AE94" i="9"/>
  <c r="AE97"/>
  <c r="AE119"/>
  <c r="BR83" i="11"/>
  <c r="BX83" s="1"/>
  <c r="BZ83" s="1"/>
  <c r="BR79"/>
  <c r="BX79" s="1"/>
  <c r="BZ79" s="1"/>
  <c r="BR74"/>
  <c r="BX74" s="1"/>
  <c r="BZ74" s="1"/>
  <c r="BR71"/>
  <c r="BX71" s="1"/>
  <c r="BZ71" s="1"/>
  <c r="BR72"/>
  <c r="BX72" s="1"/>
  <c r="BZ72" s="1"/>
  <c r="BR73"/>
  <c r="BX73" s="1"/>
  <c r="BZ73" s="1"/>
  <c r="BR76"/>
  <c r="BR85"/>
  <c r="BX85" s="1"/>
  <c r="BZ85" s="1"/>
  <c r="BR106"/>
  <c r="BX106" s="1"/>
  <c r="BZ106" s="1"/>
  <c r="BX108"/>
  <c r="BZ108" s="1"/>
  <c r="BR107"/>
  <c r="BX107" s="1"/>
  <c r="BZ107" s="1"/>
  <c r="BR78"/>
  <c r="BR80"/>
  <c r="BX80" s="1"/>
  <c r="BZ80" s="1"/>
  <c r="BR81"/>
  <c r="BX81" s="1"/>
  <c r="BZ81" s="1"/>
  <c r="BR82"/>
  <c r="BX82" s="1"/>
  <c r="BZ82" s="1"/>
  <c r="BR88"/>
  <c r="BR89"/>
  <c r="BX89" s="1"/>
  <c r="BZ89" s="1"/>
  <c r="AX98" i="2"/>
  <c r="BR97" i="11" s="1"/>
  <c r="BR84"/>
  <c r="BX84" s="1"/>
  <c r="BZ84" s="1"/>
  <c r="AW80" i="5"/>
  <c r="BP80" i="4" s="1"/>
  <c r="BX80" s="1"/>
  <c r="BZ80" s="1"/>
  <c r="AE121" i="6"/>
  <c r="BR123" i="11"/>
  <c r="BX123" s="1"/>
  <c r="BZ123" s="1"/>
  <c r="BX119"/>
  <c r="BZ119" s="1"/>
  <c r="BR118"/>
  <c r="BX118" s="1"/>
  <c r="BZ118" s="1"/>
  <c r="BR117"/>
  <c r="BX117" s="1"/>
  <c r="BZ117" s="1"/>
  <c r="BR116"/>
  <c r="BX116" s="1"/>
  <c r="BZ116" s="1"/>
  <c r="AW117" i="5"/>
  <c r="BP117" i="4" s="1"/>
  <c r="BX117" s="1"/>
  <c r="BZ117" s="1"/>
  <c r="AE116" i="6"/>
  <c r="BR115" i="11"/>
  <c r="AE115" i="6"/>
  <c r="BR122" i="11"/>
  <c r="BX122" s="1"/>
  <c r="BZ122" s="1"/>
  <c r="BR121"/>
  <c r="BX121" s="1"/>
  <c r="BZ121" s="1"/>
  <c r="BR120"/>
  <c r="BX120" s="1"/>
  <c r="BZ120" s="1"/>
  <c r="BC125" i="7"/>
  <c r="BG125" s="1"/>
  <c r="BI125" s="1"/>
  <c r="BR113" i="11"/>
  <c r="BX113" s="1"/>
  <c r="BZ113" s="1"/>
  <c r="BR112"/>
  <c r="BX112" s="1"/>
  <c r="BZ112" s="1"/>
  <c r="AE112" i="6"/>
  <c r="BR111" i="11"/>
  <c r="AE112" i="9"/>
  <c r="BZ111" i="4"/>
  <c r="BR109" i="11"/>
  <c r="BX109" s="1"/>
  <c r="BZ109" s="1"/>
  <c r="AE103" i="6"/>
  <c r="BX103" i="11"/>
  <c r="BZ103" s="1"/>
  <c r="BR102"/>
  <c r="BX102" s="1"/>
  <c r="BZ102" s="1"/>
  <c r="BP103" i="4"/>
  <c r="BX103" s="1"/>
  <c r="BZ103" s="1"/>
  <c r="BX100" i="11"/>
  <c r="BZ100" s="1"/>
  <c r="BR99"/>
  <c r="BX99" s="1"/>
  <c r="BZ99" s="1"/>
  <c r="BR98"/>
  <c r="BX98" s="1"/>
  <c r="BZ98" s="1"/>
  <c r="BR101"/>
  <c r="BX101" s="1"/>
  <c r="BZ101" s="1"/>
  <c r="BR95"/>
  <c r="BX95" s="1"/>
  <c r="BZ95" s="1"/>
  <c r="BR94"/>
  <c r="BX94" s="1"/>
  <c r="BZ94" s="1"/>
  <c r="BR93"/>
  <c r="BX93" s="1"/>
  <c r="BZ93" s="1"/>
  <c r="BX70"/>
  <c r="BZ70" s="1"/>
  <c r="BR69"/>
  <c r="BC89" i="7"/>
  <c r="BG89" s="1"/>
  <c r="BI89" s="1"/>
  <c r="BC90"/>
  <c r="BG90" s="1"/>
  <c r="BI90" s="1"/>
  <c r="BC91"/>
  <c r="BG91" s="1"/>
  <c r="BI91" s="1"/>
  <c r="BC92"/>
  <c r="BG92" s="1"/>
  <c r="BI92" s="1"/>
  <c r="BC94"/>
  <c r="BG94" s="1"/>
  <c r="BI94" s="1"/>
  <c r="BR92" i="11"/>
  <c r="BX92" s="1"/>
  <c r="BZ92" s="1"/>
  <c r="AE92" i="6"/>
  <c r="BR91" i="11"/>
  <c r="BP92" i="4"/>
  <c r="BX92" s="1"/>
  <c r="BZ92" s="1"/>
  <c r="AX67" i="2"/>
  <c r="AX69"/>
  <c r="AX88"/>
  <c r="AX97"/>
  <c r="AX76"/>
  <c r="AX78"/>
  <c r="BX78" i="11" s="1"/>
  <c r="BZ78" s="1"/>
  <c r="AW89" i="5"/>
  <c r="BP89" i="4" s="1"/>
  <c r="BX89" s="1"/>
  <c r="BZ89" s="1"/>
  <c r="AW87" i="5"/>
  <c r="BP87" i="4" s="1"/>
  <c r="BX87" s="1"/>
  <c r="BZ87" s="1"/>
  <c r="AW98" i="5"/>
  <c r="BP98" i="4" s="1"/>
  <c r="BX98" s="1"/>
  <c r="BZ98" s="1"/>
  <c r="AW83" i="5"/>
  <c r="BP83" i="4" s="1"/>
  <c r="BX83" s="1"/>
  <c r="BZ83" s="1"/>
  <c r="AW86" i="5"/>
  <c r="BP86" i="4" s="1"/>
  <c r="BX86" s="1"/>
  <c r="BZ86" s="1"/>
  <c r="AW88" i="5"/>
  <c r="BP88" i="4" s="1"/>
  <c r="BX88" s="1"/>
  <c r="BZ88" s="1"/>
  <c r="AW85" i="5"/>
  <c r="BP85" i="4" s="1"/>
  <c r="BX85" s="1"/>
  <c r="BZ85" s="1"/>
  <c r="AW114" i="5"/>
  <c r="BP114" i="4" s="1"/>
  <c r="BX114" s="1"/>
  <c r="BZ114" s="1"/>
  <c r="AW81" i="5"/>
  <c r="BP81" i="4" s="1"/>
  <c r="BX81" s="1"/>
  <c r="BZ81" s="1"/>
  <c r="AW126" i="5"/>
  <c r="BP126" i="4" s="1"/>
  <c r="BX126" s="1"/>
  <c r="BZ126" s="1"/>
  <c r="AW119" i="5"/>
  <c r="BP119" i="4" s="1"/>
  <c r="BX119" s="1"/>
  <c r="BZ119" s="1"/>
  <c r="AW124" i="5"/>
  <c r="AW115"/>
  <c r="BP115" i="4" s="1"/>
  <c r="BX115" s="1"/>
  <c r="BZ115" s="1"/>
  <c r="BP67"/>
  <c r="BX67" s="1"/>
  <c r="BZ67" s="1"/>
  <c r="AE85" i="6"/>
  <c r="AE73"/>
  <c r="AE74"/>
  <c r="AE80"/>
  <c r="AE81"/>
  <c r="AE83"/>
  <c r="AE90"/>
  <c r="AE91"/>
  <c r="BZ69" i="4"/>
  <c r="AE94" i="6"/>
  <c r="AE97"/>
  <c r="AE98"/>
  <c r="AE99"/>
  <c r="AE100"/>
  <c r="AE109"/>
  <c r="AE110"/>
  <c r="AE101"/>
  <c r="BC80" i="7"/>
  <c r="BG80" s="1"/>
  <c r="BI80" s="1"/>
  <c r="AE83" i="9"/>
  <c r="AX91" i="2"/>
  <c r="AX111"/>
  <c r="AX115"/>
  <c r="AW108" i="5"/>
  <c r="BP108" i="4" s="1"/>
  <c r="BX108" s="1"/>
  <c r="BZ108" s="1"/>
  <c r="AW99" i="5"/>
  <c r="BP99" i="4" s="1"/>
  <c r="BX99" s="1"/>
  <c r="BZ99" s="1"/>
  <c r="AW100" i="5"/>
  <c r="BP100" i="4" s="1"/>
  <c r="BX100" s="1"/>
  <c r="AW102" i="5"/>
  <c r="BP102" i="4" s="1"/>
  <c r="BX102" s="1"/>
  <c r="BZ102" s="1"/>
  <c r="AW116" i="5"/>
  <c r="BP116" i="4" s="1"/>
  <c r="BX116" s="1"/>
  <c r="BZ116" s="1"/>
  <c r="AW79" i="5"/>
  <c r="BP79" i="4" s="1"/>
  <c r="BX79" s="1"/>
  <c r="BZ79" s="1"/>
  <c r="AE70" i="6"/>
  <c r="AE88"/>
  <c r="AE89"/>
  <c r="AE107"/>
  <c r="AE108"/>
  <c r="AE72"/>
  <c r="AE79"/>
  <c r="AE87"/>
  <c r="AE96"/>
  <c r="AE106"/>
  <c r="AE114"/>
  <c r="AE123"/>
  <c r="AW74" i="5"/>
  <c r="BP74" i="4" s="1"/>
  <c r="BX74" s="1"/>
  <c r="BZ74" s="1"/>
  <c r="AW75" i="5"/>
  <c r="BP75" i="4" s="1"/>
  <c r="BX75" s="1"/>
  <c r="BZ75" s="1"/>
  <c r="AW112" i="5"/>
  <c r="BP112" i="4" s="1"/>
  <c r="BX112" s="1"/>
  <c r="BZ112" s="1"/>
  <c r="AX87" i="2"/>
  <c r="AW76" i="5"/>
  <c r="BP76" i="4" s="1"/>
  <c r="BX76" s="1"/>
  <c r="BZ76" s="1"/>
  <c r="AW104" i="5"/>
  <c r="BP104" i="4" s="1"/>
  <c r="BX104" s="1"/>
  <c r="BZ104" s="1"/>
  <c r="AW68" i="5"/>
  <c r="BP68" i="4" s="1"/>
  <c r="BX68" s="1"/>
  <c r="BZ68" s="1"/>
  <c r="AE69" i="6"/>
  <c r="AW101" i="5"/>
  <c r="BP101" i="4" s="1"/>
  <c r="BX101" s="1"/>
  <c r="BZ101" s="1"/>
  <c r="AW110" i="5"/>
  <c r="BP110" i="4" s="1"/>
  <c r="BX110" s="1"/>
  <c r="BZ110" s="1"/>
  <c r="AW121" i="5"/>
  <c r="BP121" i="4" s="1"/>
  <c r="BX121" s="1"/>
  <c r="BZ121" s="1"/>
  <c r="AW122" i="5"/>
  <c r="BP122" i="4" s="1"/>
  <c r="BX122" s="1"/>
  <c r="BZ122" s="1"/>
  <c r="AW123" i="5"/>
  <c r="BP123" i="4" s="1"/>
  <c r="BX123" s="1"/>
  <c r="BZ123" s="1"/>
  <c r="AW91" i="5"/>
  <c r="BP91" i="4" s="1"/>
  <c r="BX91" s="1"/>
  <c r="BZ91" s="1"/>
  <c r="AW94" i="5"/>
  <c r="BP94" i="4" s="1"/>
  <c r="BX94" s="1"/>
  <c r="BZ94" s="1"/>
  <c r="BP77"/>
  <c r="BX77" s="1"/>
  <c r="BZ77" s="1"/>
  <c r="AE76" i="6"/>
  <c r="AW125" i="5"/>
  <c r="AE77" i="6"/>
  <c r="AW78" i="5"/>
  <c r="BP78" i="4" s="1"/>
  <c r="BX78" s="1"/>
  <c r="BZ78" s="1"/>
  <c r="BP70"/>
  <c r="BX70" s="1"/>
  <c r="BZ70" s="1"/>
  <c r="AW113" i="5"/>
  <c r="BP113" i="4" s="1"/>
  <c r="BX113" s="1"/>
  <c r="BZ113" s="1"/>
  <c r="AW127" i="5"/>
  <c r="BP127" i="4" s="1"/>
  <c r="BX127" s="1"/>
  <c r="BZ127" s="1"/>
  <c r="BZ100"/>
  <c r="BZ84"/>
  <c r="BC108" i="7"/>
  <c r="BG108" s="1"/>
  <c r="BI108" s="1"/>
  <c r="BC118"/>
  <c r="BG118" s="1"/>
  <c r="BI118" s="1"/>
  <c r="BC74"/>
  <c r="BG74" s="1"/>
  <c r="BI74" s="1"/>
  <c r="BC73"/>
  <c r="BG73" s="1"/>
  <c r="BI73" s="1"/>
  <c r="BC106"/>
  <c r="BG106" s="1"/>
  <c r="BI106" s="1"/>
  <c r="BC81"/>
  <c r="BG81" s="1"/>
  <c r="BI81" s="1"/>
  <c r="BC84"/>
  <c r="BG84" s="1"/>
  <c r="BI84" s="1"/>
  <c r="BC98"/>
  <c r="BG98" s="1"/>
  <c r="BI98" s="1"/>
  <c r="BC83"/>
  <c r="BG83" s="1"/>
  <c r="BI83" s="1"/>
  <c r="BC85"/>
  <c r="BG85" s="1"/>
  <c r="BI85" s="1"/>
  <c r="AE74" i="9"/>
  <c r="AE91"/>
  <c r="AE95"/>
  <c r="BX88" i="11" l="1"/>
  <c r="BZ88" s="1"/>
  <c r="BR87"/>
  <c r="BX87" s="1"/>
  <c r="BZ87" s="1"/>
  <c r="BP125" i="4"/>
  <c r="BX125" s="1"/>
  <c r="BZ125" s="1"/>
  <c r="BX115" i="11"/>
  <c r="BZ115" s="1"/>
  <c r="BR114"/>
  <c r="BX114" s="1"/>
  <c r="BZ114" s="1"/>
  <c r="BR77"/>
  <c r="BX77" s="1"/>
  <c r="BZ77" s="1"/>
  <c r="BX76"/>
  <c r="BZ76" s="1"/>
  <c r="BR86"/>
  <c r="BX86" s="1"/>
  <c r="BZ86" s="1"/>
  <c r="BR75"/>
  <c r="BX75" s="1"/>
  <c r="BZ75" s="1"/>
  <c r="BP124" i="4"/>
  <c r="BX124" s="1"/>
  <c r="BZ124" s="1"/>
  <c r="BX111" i="11"/>
  <c r="BZ111" s="1"/>
  <c r="BR110"/>
  <c r="BX110" s="1"/>
  <c r="BZ110" s="1"/>
  <c r="BX97"/>
  <c r="BZ97" s="1"/>
  <c r="BR96"/>
  <c r="BX96" s="1"/>
  <c r="BZ96" s="1"/>
  <c r="BX67"/>
  <c r="BZ67" s="1"/>
  <c r="BR66"/>
  <c r="BX66" s="1"/>
  <c r="BZ66" s="1"/>
  <c r="BX69"/>
  <c r="BZ69" s="1"/>
  <c r="BR68"/>
  <c r="BX68" s="1"/>
  <c r="BZ68" s="1"/>
  <c r="BX91"/>
  <c r="BZ91" s="1"/>
  <c r="BR90"/>
  <c r="BX90" s="1"/>
  <c r="BZ90" s="1"/>
</calcChain>
</file>

<file path=xl/sharedStrings.xml><?xml version="1.0" encoding="utf-8"?>
<sst xmlns="http://schemas.openxmlformats.org/spreadsheetml/2006/main" count="4703" uniqueCount="437">
  <si>
    <t>Summary Data from the Statement of Net Assets - Governmental Activities</t>
  </si>
  <si>
    <t>Amounts</t>
  </si>
  <si>
    <t>Assets</t>
  </si>
  <si>
    <t xml:space="preserve">                     Liabilities</t>
  </si>
  <si>
    <t>Net Assets</t>
  </si>
  <si>
    <t>Statement</t>
  </si>
  <si>
    <t>Current</t>
  </si>
  <si>
    <t>Capital</t>
  </si>
  <si>
    <t>Deferred</t>
  </si>
  <si>
    <t>Total</t>
  </si>
  <si>
    <t>Long-term Liabilities</t>
  </si>
  <si>
    <t>Invested in</t>
  </si>
  <si>
    <t>Balances if</t>
  </si>
  <si>
    <t>County</t>
  </si>
  <si>
    <t>IRN #</t>
  </si>
  <si>
    <t>Investments</t>
  </si>
  <si>
    <t>Liabilities</t>
  </si>
  <si>
    <t>Within 1 Year</t>
  </si>
  <si>
    <t>More Than 1 Yr</t>
  </si>
  <si>
    <t>Capital Assets</t>
  </si>
  <si>
    <t>Restricted</t>
  </si>
  <si>
    <t>Unrestricted</t>
  </si>
  <si>
    <t>Value is "0"</t>
  </si>
  <si>
    <t>Hardin</t>
  </si>
  <si>
    <t>Revenues from the Statement of Activities - Governmental Activities</t>
  </si>
  <si>
    <t>Program Revenues - Governmental Activities</t>
  </si>
  <si>
    <t xml:space="preserve"> </t>
  </si>
  <si>
    <t xml:space="preserve">                 General Revenues - Governmental Activities</t>
  </si>
  <si>
    <t>Operating</t>
  </si>
  <si>
    <t>General</t>
  </si>
  <si>
    <t>Grants,</t>
  </si>
  <si>
    <t>Extra-</t>
  </si>
  <si>
    <t>Payments in</t>
  </si>
  <si>
    <t>Contributions</t>
  </si>
  <si>
    <t>Extraordinary/</t>
  </si>
  <si>
    <t>Revenues</t>
  </si>
  <si>
    <t>Charges for</t>
  </si>
  <si>
    <t>Program</t>
  </si>
  <si>
    <t>Property</t>
  </si>
  <si>
    <t>Grants and</t>
  </si>
  <si>
    <t>Investment</t>
  </si>
  <si>
    <t>Tuition</t>
  </si>
  <si>
    <t>curricular</t>
  </si>
  <si>
    <t>Lieu of</t>
  </si>
  <si>
    <t>and</t>
  </si>
  <si>
    <t>Transfers-</t>
  </si>
  <si>
    <t xml:space="preserve">Special </t>
  </si>
  <si>
    <t>Services</t>
  </si>
  <si>
    <t>and Interest</t>
  </si>
  <si>
    <t>Grants</t>
  </si>
  <si>
    <t>Taxes</t>
  </si>
  <si>
    <t>Entitlements</t>
  </si>
  <si>
    <t>Earnings</t>
  </si>
  <si>
    <t>and Fees</t>
  </si>
  <si>
    <t>Activities</t>
  </si>
  <si>
    <t>Donations</t>
  </si>
  <si>
    <t>Items</t>
  </si>
  <si>
    <t>This Column</t>
  </si>
  <si>
    <t>Should not</t>
  </si>
  <si>
    <t>exist</t>
  </si>
  <si>
    <t>Instruction</t>
  </si>
  <si>
    <t>Support Services</t>
  </si>
  <si>
    <t>Operation and</t>
  </si>
  <si>
    <t>outlay and</t>
  </si>
  <si>
    <t>and Activities</t>
  </si>
  <si>
    <t>Instructional</t>
  </si>
  <si>
    <t>Board of</t>
  </si>
  <si>
    <t>Maintenance</t>
  </si>
  <si>
    <t>Pupil</t>
  </si>
  <si>
    <t>Food</t>
  </si>
  <si>
    <t>Extracurricular</t>
  </si>
  <si>
    <t>Transfers</t>
  </si>
  <si>
    <t>debt</t>
  </si>
  <si>
    <t>All Other</t>
  </si>
  <si>
    <t>Beginning</t>
  </si>
  <si>
    <t>End of</t>
  </si>
  <si>
    <t>Balance if</t>
  </si>
  <si>
    <t>Special</t>
  </si>
  <si>
    <t>Vocational</t>
  </si>
  <si>
    <t>Pupils</t>
  </si>
  <si>
    <t>Staff</t>
  </si>
  <si>
    <t>Education</t>
  </si>
  <si>
    <t>Administration</t>
  </si>
  <si>
    <t>Fiscal</t>
  </si>
  <si>
    <t>Business</t>
  </si>
  <si>
    <t>of Plant</t>
  </si>
  <si>
    <t>Transportation</t>
  </si>
  <si>
    <t>Central</t>
  </si>
  <si>
    <t>Service</t>
  </si>
  <si>
    <t>Other</t>
  </si>
  <si>
    <t>Interest</t>
  </si>
  <si>
    <t>Out</t>
  </si>
  <si>
    <t>principal</t>
  </si>
  <si>
    <t>Expenses</t>
  </si>
  <si>
    <t>of Year</t>
  </si>
  <si>
    <t>Year</t>
  </si>
  <si>
    <t>Summary Data from the General Fund Balance Sheet</t>
  </si>
  <si>
    <t>Cash and</t>
  </si>
  <si>
    <t>Reserved</t>
  </si>
  <si>
    <t>Fund</t>
  </si>
  <si>
    <t>Balances</t>
  </si>
  <si>
    <t>Revenue</t>
  </si>
  <si>
    <t>Fund Balance</t>
  </si>
  <si>
    <t>General Fund Revenues - Modified Accrual Basis of Accounting</t>
  </si>
  <si>
    <t>Other Financing Sources</t>
  </si>
  <si>
    <t>Payments</t>
  </si>
  <si>
    <t>and Other</t>
  </si>
  <si>
    <t>Inter-</t>
  </si>
  <si>
    <t>in Lieu</t>
  </si>
  <si>
    <t>Note</t>
  </si>
  <si>
    <t>Bond</t>
  </si>
  <si>
    <t>Financing</t>
  </si>
  <si>
    <t>governmental</t>
  </si>
  <si>
    <t>of Taxes</t>
  </si>
  <si>
    <t>Transfers in</t>
  </si>
  <si>
    <t>Advances in</t>
  </si>
  <si>
    <t>Proceeds</t>
  </si>
  <si>
    <t>Sources</t>
  </si>
  <si>
    <t>General Fund Expenditures - Modified Accrual Basis of Accounting</t>
  </si>
  <si>
    <t>Debt Service</t>
  </si>
  <si>
    <t>Other Financing Uses</t>
  </si>
  <si>
    <t>Net</t>
  </si>
  <si>
    <t>All</t>
  </si>
  <si>
    <t>Expenditures</t>
  </si>
  <si>
    <t>Change in</t>
  </si>
  <si>
    <t>Balance</t>
  </si>
  <si>
    <t>Principal</t>
  </si>
  <si>
    <t>Advances</t>
  </si>
  <si>
    <t>End</t>
  </si>
  <si>
    <t>Fund Bal.</t>
  </si>
  <si>
    <t>Outlay</t>
  </si>
  <si>
    <t>Retirement</t>
  </si>
  <si>
    <t>Uses</t>
  </si>
  <si>
    <t>Other Uses</t>
  </si>
  <si>
    <t>Summary Data from the Governmental Fund Balance Sheet</t>
  </si>
  <si>
    <t>Governmental Fund Revenues - Modified Accrual Basis of Accounting</t>
  </si>
  <si>
    <t>Income</t>
  </si>
  <si>
    <t>Miscellaneous</t>
  </si>
  <si>
    <t>Long-Term Obligations</t>
  </si>
  <si>
    <t>Due in More</t>
  </si>
  <si>
    <t>Than One Year/Tie</t>
  </si>
  <si>
    <t>Obligation</t>
  </si>
  <si>
    <t>Notes</t>
  </si>
  <si>
    <t>Compensated</t>
  </si>
  <si>
    <t>Due within</t>
  </si>
  <si>
    <t xml:space="preserve">to Statement of </t>
  </si>
  <si>
    <t>Bonds</t>
  </si>
  <si>
    <t>Loans</t>
  </si>
  <si>
    <t>Payables</t>
  </si>
  <si>
    <t>Leases</t>
  </si>
  <si>
    <t>Absences</t>
  </si>
  <si>
    <t>Obligations</t>
  </si>
  <si>
    <t>One Year</t>
  </si>
  <si>
    <t>GLTD</t>
  </si>
  <si>
    <t>Lorain</t>
  </si>
  <si>
    <t>Ashland</t>
  </si>
  <si>
    <t>Ashtabula</t>
  </si>
  <si>
    <t>Athens</t>
  </si>
  <si>
    <t>Lake</t>
  </si>
  <si>
    <t>Butler</t>
  </si>
  <si>
    <t>Ashtabula Educ Srv Ctr</t>
  </si>
  <si>
    <t>Athens-Meigs Educ Srv Ctr</t>
  </si>
  <si>
    <t>Belmont</t>
  </si>
  <si>
    <t>Brown Educ Srv Ctr</t>
  </si>
  <si>
    <t>Brown</t>
  </si>
  <si>
    <t>Butler Educ Srv Ctr</t>
  </si>
  <si>
    <t>Madison-Champaign Educ Srv Ctr</t>
  </si>
  <si>
    <t>Champaign</t>
  </si>
  <si>
    <t>Clark Educ Srv Ctr</t>
  </si>
  <si>
    <t>Clark</t>
  </si>
  <si>
    <t>Clermont County Educ Srv Ctr</t>
  </si>
  <si>
    <t>Clermont</t>
  </si>
  <si>
    <t>Clinton Fayette Highland Educ</t>
  </si>
  <si>
    <t>Clinton</t>
  </si>
  <si>
    <t>Columbiana Educ Srv Ctr</t>
  </si>
  <si>
    <t>Columbiana</t>
  </si>
  <si>
    <t>Cuyahoga Educ Srv Ctr</t>
  </si>
  <si>
    <t>Cuyahoga</t>
  </si>
  <si>
    <t>Darke Educ Srv Ctr</t>
  </si>
  <si>
    <t>Darke</t>
  </si>
  <si>
    <t>Delaware-Union Educ Srv Ctr</t>
  </si>
  <si>
    <t>Delaware</t>
  </si>
  <si>
    <t>Erie-Huron-Ottawa Educ Srv Ctr</t>
  </si>
  <si>
    <t>Erie</t>
  </si>
  <si>
    <t>Fairfield Educ Srv Ctr</t>
  </si>
  <si>
    <t>Fairfield</t>
  </si>
  <si>
    <t>Franklin</t>
  </si>
  <si>
    <t>Northwest Ohio Educ Srv Ctr</t>
  </si>
  <si>
    <t>Gallia-Vinton Educ Srv Ctr</t>
  </si>
  <si>
    <t>Gallia</t>
  </si>
  <si>
    <t>Geauga Educ Srv Ctr</t>
  </si>
  <si>
    <t>Geauga</t>
  </si>
  <si>
    <t>Greene Educ Srv Ctr</t>
  </si>
  <si>
    <t>Greene</t>
  </si>
  <si>
    <t>Hamilton Educ Srv Ctr</t>
  </si>
  <si>
    <t>Hamilton</t>
  </si>
  <si>
    <t>Hancock Educ Srv Ctr</t>
  </si>
  <si>
    <t>Hancock</t>
  </si>
  <si>
    <t>Hardin Educ Srv Ctr</t>
  </si>
  <si>
    <t>Jefferson Educ Srv Ctr</t>
  </si>
  <si>
    <t>Jefferson</t>
  </si>
  <si>
    <t>Knox Educ Srv Ctr</t>
  </si>
  <si>
    <t>Knox</t>
  </si>
  <si>
    <t>Lake Educ Srv Ctr</t>
  </si>
  <si>
    <t>Lawrence Educ Srv Ctr</t>
  </si>
  <si>
    <t>Lawrence</t>
  </si>
  <si>
    <t>Licking Educ Srv Ctr</t>
  </si>
  <si>
    <t>Licking</t>
  </si>
  <si>
    <t>Logan Educ Srv Ctr</t>
  </si>
  <si>
    <t>Logan</t>
  </si>
  <si>
    <t>Lorain Educ Srv Ctr</t>
  </si>
  <si>
    <t>Lucas Educ Srv Ctr</t>
  </si>
  <si>
    <t>Lucas</t>
  </si>
  <si>
    <t>Mahoning Educ Srv Ctr</t>
  </si>
  <si>
    <t>Mahoning</t>
  </si>
  <si>
    <t>Medina County Educ Srv Ctr</t>
  </si>
  <si>
    <t>Medina</t>
  </si>
  <si>
    <t>Mercer Educ Srv Ctr</t>
  </si>
  <si>
    <t>Mercer</t>
  </si>
  <si>
    <t>Miami Educ Srv Ctr</t>
  </si>
  <si>
    <t>Miami</t>
  </si>
  <si>
    <t>Montgomery Educ Srv Ctr</t>
  </si>
  <si>
    <t>Montgomery</t>
  </si>
  <si>
    <t>Muskingum Valley Educ Srv Ctr</t>
  </si>
  <si>
    <t>Muskingum</t>
  </si>
  <si>
    <t>Perry-Hocking Educ Srv Ctr</t>
  </si>
  <si>
    <t>Perry</t>
  </si>
  <si>
    <t>Pickaway Educ Srv Ctr</t>
  </si>
  <si>
    <t>Pickaway</t>
  </si>
  <si>
    <t>Portage Educ Srv Ctr</t>
  </si>
  <si>
    <t>Portage</t>
  </si>
  <si>
    <t>Preble Educ Srv Ctr</t>
  </si>
  <si>
    <t>Preble</t>
  </si>
  <si>
    <t>Putnam Educ Srv Ctr</t>
  </si>
  <si>
    <t>Putnam</t>
  </si>
  <si>
    <t>Mid-Ohio Educ Srv Ctr</t>
  </si>
  <si>
    <t>Richland</t>
  </si>
  <si>
    <t>Ross-Pike Educ Srv Ctr</t>
  </si>
  <si>
    <t>Ross</t>
  </si>
  <si>
    <t>Sandusky Educ Srv Ctr</t>
  </si>
  <si>
    <t>Sandusky</t>
  </si>
  <si>
    <t>South Central Ohio Educ Srv Ct</t>
  </si>
  <si>
    <t>Scioto</t>
  </si>
  <si>
    <t>North Central Ohio Educ Srv Ct</t>
  </si>
  <si>
    <t>Seneca</t>
  </si>
  <si>
    <t>Shelby Educ Srv Ctr</t>
  </si>
  <si>
    <t>Shelby</t>
  </si>
  <si>
    <t>Stark Educ Srv Ctr</t>
  </si>
  <si>
    <t>Stark</t>
  </si>
  <si>
    <t>Summit Educ Srv Ctr</t>
  </si>
  <si>
    <t>Summit</t>
  </si>
  <si>
    <t>Trumbull Co Educ Srv Ctr</t>
  </si>
  <si>
    <t>Trumbull</t>
  </si>
  <si>
    <t>Tuscarawas-Carroll-Harrison Ed</t>
  </si>
  <si>
    <t>Tuscarawas</t>
  </si>
  <si>
    <t>Western Buckeye Educ Srv Ctr</t>
  </si>
  <si>
    <t>Van Wert</t>
  </si>
  <si>
    <t>Warren Educ Srv Ctr</t>
  </si>
  <si>
    <t>Warren</t>
  </si>
  <si>
    <t>Washington Educ Srv Ctr</t>
  </si>
  <si>
    <t>Washington</t>
  </si>
  <si>
    <t>Tri-County Educ Srv Ctr</t>
  </si>
  <si>
    <t>Wayne</t>
  </si>
  <si>
    <t>Wood Educ Srv Ctr</t>
  </si>
  <si>
    <t>Wood</t>
  </si>
  <si>
    <t>Ashtabula County JVSD</t>
  </si>
  <si>
    <t>Tri-County JVSD</t>
  </si>
  <si>
    <t>Belmont-Harrison JVSD</t>
  </si>
  <si>
    <t>Southern Hills JVSD</t>
  </si>
  <si>
    <t>Springfield-Clark County JVSD</t>
  </si>
  <si>
    <t>U S Grant JVSD</t>
  </si>
  <si>
    <t>Columbiana County JVSD</t>
  </si>
  <si>
    <t>Coshocton</t>
  </si>
  <si>
    <t>Gallia-Jackson-Vinton JVSD</t>
  </si>
  <si>
    <t>Great Oaks Inst Of Technology</t>
  </si>
  <si>
    <t>Henry</t>
  </si>
  <si>
    <t>Jefferson County JVSD</t>
  </si>
  <si>
    <t>Auburn JVSD</t>
  </si>
  <si>
    <t>Lawrence County JVSD</t>
  </si>
  <si>
    <t>Ohio Hi-Point JVSD</t>
  </si>
  <si>
    <t>Lorain County JVSD</t>
  </si>
  <si>
    <t>Central Ohio JVSD</t>
  </si>
  <si>
    <t>Madison</t>
  </si>
  <si>
    <t>Mahoning Co Career &amp; Tech Ctr</t>
  </si>
  <si>
    <t>Tri-Rivers JVSD</t>
  </si>
  <si>
    <t>Marion</t>
  </si>
  <si>
    <t>Medina County JVSD</t>
  </si>
  <si>
    <t>Upper Valley JVSD</t>
  </si>
  <si>
    <t>Pike</t>
  </si>
  <si>
    <t>Stark County Area JVSD</t>
  </si>
  <si>
    <t>Buckeye JVSD</t>
  </si>
  <si>
    <t>Warren County JVSD</t>
  </si>
  <si>
    <t>Washington County JVSD</t>
  </si>
  <si>
    <t>Proceeds From</t>
  </si>
  <si>
    <t>Lease</t>
  </si>
  <si>
    <t>Sale of</t>
  </si>
  <si>
    <t>(Increase)/Decrease</t>
  </si>
  <si>
    <t>in reserve for</t>
  </si>
  <si>
    <t>Inventory</t>
  </si>
  <si>
    <t>in Reserve for</t>
  </si>
  <si>
    <t>Refund of</t>
  </si>
  <si>
    <t>Prior Year's</t>
  </si>
  <si>
    <t xml:space="preserve">Refund of </t>
  </si>
  <si>
    <t xml:space="preserve">Prior Year's </t>
  </si>
  <si>
    <t>Inception</t>
  </si>
  <si>
    <t>of Capital</t>
  </si>
  <si>
    <t>Inception of</t>
  </si>
  <si>
    <t xml:space="preserve"> Other</t>
  </si>
  <si>
    <t>Receipts</t>
  </si>
  <si>
    <t>in General</t>
  </si>
  <si>
    <t>Investment in</t>
  </si>
  <si>
    <t>Fixed Assets</t>
  </si>
  <si>
    <t>Property and</t>
  </si>
  <si>
    <t>Other Local</t>
  </si>
  <si>
    <t>Regular (1)</t>
  </si>
  <si>
    <t>(Decrease)</t>
  </si>
  <si>
    <t>Increase or</t>
  </si>
  <si>
    <t>Designated</t>
  </si>
  <si>
    <t>Special Items</t>
  </si>
  <si>
    <t>In / (Out)</t>
  </si>
  <si>
    <t xml:space="preserve">Unreserved, </t>
  </si>
  <si>
    <t>Unreserved,</t>
  </si>
  <si>
    <t>Butler County Technology and Career Ctr</t>
  </si>
  <si>
    <t>Ashland County-West Holmes JVSD</t>
  </si>
  <si>
    <t>Delaware Area Career Center</t>
  </si>
  <si>
    <t>Cuyahoga Valley Career Center</t>
  </si>
  <si>
    <t>Eastland-Fairfield Career and Tech Ctr</t>
  </si>
  <si>
    <t>Ehove Career Center</t>
  </si>
  <si>
    <t>Coshocton County Career Center</t>
  </si>
  <si>
    <t>Four County Career Center</t>
  </si>
  <si>
    <t>Greene County JVSD</t>
  </si>
  <si>
    <t>Knox County Career Center</t>
  </si>
  <si>
    <t>Maplewood Career Center</t>
  </si>
  <si>
    <t>Miami Valley Career Tech Ctr</t>
  </si>
  <si>
    <t>Mid-East Career &amp; Tech Center</t>
  </si>
  <si>
    <t>Penta County JVSD</t>
  </si>
  <si>
    <t>Pickaway-Ross County Career &amp; Tech Ctr</t>
  </si>
  <si>
    <t>Pike County JVSD</t>
  </si>
  <si>
    <t>Pioneer Career &amp; Tech Ctr</t>
  </si>
  <si>
    <t>Polaris Career Center</t>
  </si>
  <si>
    <t>Portage Lakes Career Center</t>
  </si>
  <si>
    <t>Scioto County JVSD</t>
  </si>
  <si>
    <t>Trumbull Career &amp; Tech Ctr</t>
  </si>
  <si>
    <t>Vanguard-Sentinel Career Center</t>
  </si>
  <si>
    <t>Vantage Career Center</t>
  </si>
  <si>
    <t>Wayne County JVSD</t>
  </si>
  <si>
    <t>Career Centers/Joint Vocational School Districts</t>
  </si>
  <si>
    <t>Educational Service Centers</t>
  </si>
  <si>
    <t>(Continued)</t>
  </si>
  <si>
    <t>All Career Centers/Joint Vocational School Districts and Educantional Service Centers Reporting Under GAAP</t>
  </si>
  <si>
    <t>Undesignated</t>
  </si>
  <si>
    <t>Governmental Fund Expenditures - Modified Accrual Basis of Accounting</t>
  </si>
  <si>
    <t>Medina County ESC</t>
  </si>
  <si>
    <t>Ohio Vally Educ Srv Ctr</t>
  </si>
  <si>
    <t>Ohio Vally  Educ Srv Ctr</t>
  </si>
  <si>
    <t>Ohio Vallly Educ Srv Ctr</t>
  </si>
  <si>
    <t>Ohio Valley Educ Srv Ctr</t>
  </si>
  <si>
    <t>All Career Centers/Joint Vocational School Districts and Educational Service Centers Reporting Under GAAP</t>
  </si>
  <si>
    <t>Paulding</t>
  </si>
  <si>
    <t>(1) In some cases, Regular Instruction may include Special, Vocational and Other Instruction(s).</t>
  </si>
  <si>
    <t xml:space="preserve">Taxes </t>
  </si>
  <si>
    <t xml:space="preserve">Regular </t>
  </si>
  <si>
    <t>Licking Co Career &amp; Tech Ctr</t>
  </si>
  <si>
    <t>Guernsey</t>
  </si>
  <si>
    <t>Allen Co Educ Srv Ctr</t>
  </si>
  <si>
    <t>Allen</t>
  </si>
  <si>
    <t>Apollo Career Ctr</t>
  </si>
  <si>
    <t>Ashtabula Co Educ Srv Ctr</t>
  </si>
  <si>
    <t>Auglaize Co Educ Srv Ctr</t>
  </si>
  <si>
    <t>Auglaize</t>
  </si>
  <si>
    <t>Southern Ohio Educ Srv Ctr</t>
  </si>
  <si>
    <t>South Central Ohio Educ Srv Ctr</t>
  </si>
  <si>
    <t>Washington County Career Center</t>
  </si>
  <si>
    <t>Cash Basis</t>
  </si>
  <si>
    <t>North Central Ohio Educ Srv Ctr</t>
  </si>
  <si>
    <t>Tuscarawas-Carroll-Harrison ESC</t>
  </si>
  <si>
    <t xml:space="preserve">Tuscarawas-Carroll-Harrison ESC </t>
  </si>
  <si>
    <t xml:space="preserve">Expenses from the Statement of Activities - Governmental Activities </t>
  </si>
  <si>
    <t>Non-Instructional</t>
  </si>
  <si>
    <t>Total Program</t>
  </si>
  <si>
    <t xml:space="preserve">and General </t>
  </si>
  <si>
    <t xml:space="preserve">Revenues, </t>
  </si>
  <si>
    <t>Transfers, and</t>
  </si>
  <si>
    <t>Revenues, Other</t>
  </si>
  <si>
    <t>Financing Sources</t>
  </si>
  <si>
    <t>and Extraordinary/</t>
  </si>
  <si>
    <t>Miscellanous</t>
  </si>
  <si>
    <t>Springfield-Clark Co Career Tech Center</t>
  </si>
  <si>
    <t>Butler Technology and Career Development</t>
  </si>
  <si>
    <t>Tuscarawas-Carroll-Harrison Educ Srv Ctr</t>
  </si>
  <si>
    <t>As of June 30, 2009</t>
  </si>
  <si>
    <t>For the Fiscal Year Ended June 30, 2009</t>
  </si>
  <si>
    <t>Columbiana County Career &amp; Technical Center</t>
  </si>
  <si>
    <t>Geauga County Educational Service Center (Report invalid.  Totals for 2008 were repeated for 2009.  Auditor's website reflects a combined report for 2009 &amp; 2010. No separate totals for 2009.)</t>
  </si>
  <si>
    <t>(Report invalid.  Totals for 2008 were repeated for 2009.  Auditor's website reflects a combined report for 2009 &amp; 2010. No separate totals for 2009.)</t>
  </si>
  <si>
    <t>Darke Educ Srv Ctr (CASH)</t>
  </si>
  <si>
    <t>Central Ohio JVSD- now Tolles Career &amp; Technical Center since 2005</t>
  </si>
  <si>
    <t>now Tolles Career &amp; Technical Center since 2005.  See below.</t>
  </si>
  <si>
    <t>Tolles Career and Technical Center</t>
  </si>
  <si>
    <t>Apollo Career Ctr (CASH)</t>
  </si>
  <si>
    <t>Cash Basis.   Totals pulled from AOS website.</t>
  </si>
  <si>
    <t>Totals pulled from AOS website.</t>
  </si>
  <si>
    <t>See above.</t>
  </si>
  <si>
    <t>Career and Technology Education Centers of Licking County</t>
  </si>
  <si>
    <t>Unable to locate exact name on AOS website or internet.  Could be Licking County Joint Vocational School - which is now Career and Technology Education Center of Licking County (C-TEC). See above.</t>
  </si>
  <si>
    <t xml:space="preserve">Clinton Fayette Highland Educ-now Southern Ohio ESC. </t>
  </si>
  <si>
    <t>now Southern Ohio ESC since 2005.  See below.</t>
  </si>
  <si>
    <t>See above Central Ohio JVSD.</t>
  </si>
  <si>
    <t>Totals pulled from AOS website.  See Licking Co Career &amp; Tech Ctr below.</t>
  </si>
  <si>
    <t>also includes Delaware and Union Co in Educational Service Center of Central Ohio since December 31, 2008</t>
  </si>
  <si>
    <t>now with Franklin Co as Educational Service Center of Central Ohio since December 31, 2008</t>
  </si>
  <si>
    <t xml:space="preserve">formerly Clinton Fayette Highland Educ-now Southern Ohio ESC. </t>
  </si>
  <si>
    <t>Erie-Huron-Ottawa Educ Srv Ctr-now North Point ESC</t>
  </si>
  <si>
    <t>North Point Education Service Center</t>
  </si>
  <si>
    <t>now North Point ESC since July 1, 2008.  See below.</t>
  </si>
  <si>
    <t>Allen Co Educ Srv Ctr (CASH)</t>
  </si>
  <si>
    <t>Ashtabula Co Educ Srv Ctr (CASH)</t>
  </si>
  <si>
    <t>Auglaize Co Educ Srv Ctr (CASH)</t>
  </si>
  <si>
    <t>Mid-Ohio Educ Srv Ctr  (CASH)</t>
  </si>
  <si>
    <t>Mercer Educ Srv Ctr (CASH)</t>
  </si>
  <si>
    <t>instruction not broken out</t>
  </si>
  <si>
    <t>Preble Educ Srv Ctr (CASH)</t>
  </si>
  <si>
    <t>Cash Basis - but has Capital Lease</t>
  </si>
  <si>
    <t>Tri-County JVSD - now Tri County Career Center</t>
  </si>
  <si>
    <t>(Report provided does not provide balanced totals.  Pulled correct report from Auditor's website)</t>
  </si>
  <si>
    <t>As of June 30, 2008, the Center disbanded based on section 3311.051 of the Ohio Revised Code and was merged into two other ESC's (North Central Ohio ESC &amp; North Point ESC).</t>
  </si>
  <si>
    <t>some numbers are rounded</t>
  </si>
  <si>
    <t>numbers are rounded</t>
  </si>
  <si>
    <t>Merged with the Ohio Valley ESC at the end of fiscal year 2007.</t>
  </si>
  <si>
    <t>Clinton Fayette Highland Educ-now Southern Ohio ESC</t>
  </si>
  <si>
    <t>Geauga County Educational Service Center</t>
  </si>
  <si>
    <t xml:space="preserve">Stark Educ Srv Ctr </t>
  </si>
  <si>
    <t>Warren Educ Srv Ctr (CASH)</t>
  </si>
  <si>
    <t>Franklin Educ Srv Ctr-now Educational Serv Ctr of Cen Oh</t>
  </si>
  <si>
    <t>District</t>
  </si>
  <si>
    <t xml:space="preserve">Stark Educ Srv Ctr  </t>
  </si>
  <si>
    <t>Non-Instructional Services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</si>
</sst>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_);\(0\)"/>
  </numFmts>
  <fonts count="9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Marlett"/>
      <charset val="2"/>
    </font>
    <font>
      <b/>
      <u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/>
    <xf numFmtId="3" fontId="7" fillId="0" borderId="0" applyFont="0" applyFill="0" applyBorder="0" applyAlignment="0" applyProtection="0"/>
  </cellStyleXfs>
  <cellXfs count="123">
    <xf numFmtId="0" fontId="0" fillId="0" borderId="0" xfId="0"/>
    <xf numFmtId="37" fontId="1" fillId="0" borderId="0" xfId="0" applyNumberFormat="1" applyFont="1" applyAlignment="1">
      <alignment horizontal="left"/>
    </xf>
    <xf numFmtId="37" fontId="2" fillId="0" borderId="0" xfId="0" applyNumberFormat="1" applyFont="1"/>
    <xf numFmtId="37" fontId="1" fillId="0" borderId="0" xfId="0" applyNumberFormat="1" applyFont="1"/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Fill="1" applyBorder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37" fontId="1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/>
    <xf numFmtId="0" fontId="1" fillId="0" borderId="0" xfId="0" applyFont="1"/>
    <xf numFmtId="0" fontId="2" fillId="0" borderId="0" xfId="0" applyFont="1"/>
    <xf numFmtId="37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3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/>
    <xf numFmtId="37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/>
    <xf numFmtId="37" fontId="1" fillId="0" borderId="0" xfId="0" applyNumberFormat="1" applyFont="1" applyBorder="1" applyAlignment="1"/>
    <xf numFmtId="0" fontId="2" fillId="0" borderId="0" xfId="0" applyFont="1" applyBorder="1"/>
    <xf numFmtId="37" fontId="2" fillId="0" borderId="0" xfId="0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1" fillId="0" borderId="0" xfId="0" applyNumberFormat="1" applyFont="1" applyBorder="1"/>
    <xf numFmtId="37" fontId="2" fillId="0" borderId="0" xfId="0" applyNumberFormat="1" applyFont="1" applyBorder="1" applyAlignment="1">
      <alignment horizontal="left"/>
    </xf>
    <xf numFmtId="37" fontId="1" fillId="0" borderId="0" xfId="0" applyNumberFormat="1" applyFont="1" applyBorder="1" applyAlignment="1">
      <alignment horizontal="left"/>
    </xf>
    <xf numFmtId="37" fontId="1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 wrapText="1"/>
    </xf>
    <xf numFmtId="37" fontId="0" fillId="0" borderId="0" xfId="0" applyNumberForma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37" fontId="2" fillId="0" borderId="0" xfId="0" applyNumberFormat="1" applyFont="1" applyBorder="1" applyAlignment="1"/>
    <xf numFmtId="164" fontId="2" fillId="0" borderId="0" xfId="0" applyNumberFormat="1" applyFont="1"/>
    <xf numFmtId="164" fontId="2" fillId="0" borderId="0" xfId="0" applyNumberFormat="1" applyFont="1" applyFill="1"/>
    <xf numFmtId="164" fontId="2" fillId="0" borderId="1" xfId="0" applyNumberFormat="1" applyFont="1" applyBorder="1" applyAlignment="1">
      <alignment horizontal="center"/>
    </xf>
    <xf numFmtId="37" fontId="5" fillId="0" borderId="0" xfId="0" applyNumberFormat="1" applyFont="1" applyFill="1"/>
    <xf numFmtId="37" fontId="5" fillId="0" borderId="0" xfId="0" applyNumberFormat="1" applyFont="1"/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37" fontId="2" fillId="2" borderId="0" xfId="0" applyNumberFormat="1" applyFont="1" applyFill="1"/>
    <xf numFmtId="37" fontId="6" fillId="0" borderId="0" xfId="0" applyNumberFormat="1" applyFont="1" applyBorder="1" applyAlignment="1">
      <alignment horizontal="left"/>
    </xf>
    <xf numFmtId="0" fontId="2" fillId="2" borderId="0" xfId="0" applyFont="1" applyFill="1"/>
    <xf numFmtId="37" fontId="2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Font="1"/>
    <xf numFmtId="37" fontId="2" fillId="0" borderId="1" xfId="0" applyNumberFormat="1" applyFont="1" applyBorder="1" applyAlignment="1">
      <alignment horizontal="left"/>
    </xf>
    <xf numFmtId="37" fontId="1" fillId="0" borderId="1" xfId="0" applyNumberFormat="1" applyFont="1" applyBorder="1" applyAlignment="1">
      <alignment horizontal="centerContinuous"/>
    </xf>
    <xf numFmtId="37" fontId="2" fillId="4" borderId="0" xfId="0" applyNumberFormat="1" applyFont="1" applyFill="1"/>
    <xf numFmtId="164" fontId="2" fillId="4" borderId="0" xfId="0" applyNumberFormat="1" applyFont="1" applyFill="1"/>
    <xf numFmtId="0" fontId="2" fillId="4" borderId="0" xfId="0" applyFont="1" applyFill="1"/>
    <xf numFmtId="0" fontId="1" fillId="0" borderId="0" xfId="0" applyFont="1" applyFill="1" applyAlignment="1">
      <alignment vertical="top"/>
    </xf>
    <xf numFmtId="0" fontId="0" fillId="4" borderId="0" xfId="0" applyFill="1"/>
    <xf numFmtId="37" fontId="2" fillId="4" borderId="0" xfId="0" applyNumberFormat="1" applyFont="1" applyFill="1" applyBorder="1"/>
    <xf numFmtId="5" fontId="2" fillId="4" borderId="0" xfId="0" applyNumberFormat="1" applyFont="1" applyFill="1" applyBorder="1" applyAlignment="1">
      <alignment horizontal="right"/>
    </xf>
    <xf numFmtId="37" fontId="2" fillId="4" borderId="0" xfId="0" applyNumberFormat="1" applyFont="1" applyFill="1" applyBorder="1" applyAlignment="1">
      <alignment horizontal="right"/>
    </xf>
    <xf numFmtId="37" fontId="2" fillId="4" borderId="0" xfId="1" applyNumberFormat="1" applyFont="1" applyFill="1" applyBorder="1" applyAlignment="1">
      <alignment horizontal="right"/>
    </xf>
    <xf numFmtId="37" fontId="2" fillId="4" borderId="0" xfId="0" applyNumberFormat="1" applyFont="1" applyFill="1" applyAlignment="1">
      <alignment horizontal="right"/>
    </xf>
    <xf numFmtId="37" fontId="2" fillId="4" borderId="0" xfId="0" applyNumberFormat="1" applyFont="1" applyFill="1" applyAlignment="1">
      <alignment horizontal="right" wrapText="1"/>
    </xf>
    <xf numFmtId="0" fontId="1" fillId="0" borderId="0" xfId="0" applyFont="1" applyFill="1"/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5" fontId="2" fillId="0" borderId="0" xfId="0" applyNumberFormat="1" applyFont="1" applyFill="1" applyBorder="1"/>
    <xf numFmtId="37" fontId="0" fillId="0" borderId="0" xfId="0" applyNumberFormat="1" applyFill="1"/>
    <xf numFmtId="5" fontId="2" fillId="0" borderId="0" xfId="1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/>
    <xf numFmtId="37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 wrapText="1"/>
    </xf>
    <xf numFmtId="0" fontId="2" fillId="0" borderId="0" xfId="0" applyFont="1" applyFill="1" applyBorder="1"/>
    <xf numFmtId="37" fontId="1" fillId="4" borderId="0" xfId="0" applyNumberFormat="1" applyFont="1" applyFill="1"/>
    <xf numFmtId="3" fontId="0" fillId="0" borderId="0" xfId="0" applyNumberFormat="1"/>
    <xf numFmtId="3" fontId="2" fillId="0" borderId="0" xfId="0" applyNumberFormat="1" applyFont="1"/>
    <xf numFmtId="0" fontId="7" fillId="0" borderId="0" xfId="0" applyFont="1"/>
    <xf numFmtId="3" fontId="7" fillId="0" borderId="0" xfId="0" applyNumberFormat="1" applyFont="1"/>
    <xf numFmtId="37" fontId="7" fillId="0" borderId="0" xfId="0" applyNumberFormat="1" applyFont="1"/>
    <xf numFmtId="0" fontId="7" fillId="0" borderId="0" xfId="0" applyFont="1" applyFill="1"/>
    <xf numFmtId="37" fontId="1" fillId="0" borderId="0" xfId="0" applyNumberFormat="1" applyFont="1" applyFill="1" applyAlignment="1"/>
    <xf numFmtId="0" fontId="2" fillId="3" borderId="0" xfId="0" applyFont="1" applyFill="1"/>
    <xf numFmtId="37" fontId="2" fillId="5" borderId="0" xfId="0" applyNumberFormat="1" applyFont="1" applyFill="1"/>
    <xf numFmtId="164" fontId="2" fillId="5" borderId="0" xfId="0" applyNumberFormat="1" applyFont="1" applyFill="1"/>
    <xf numFmtId="0" fontId="2" fillId="5" borderId="0" xfId="0" applyFont="1" applyFill="1"/>
    <xf numFmtId="37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Fill="1"/>
    <xf numFmtId="0" fontId="7" fillId="0" borderId="0" xfId="0" applyFont="1" applyFill="1" applyBorder="1"/>
    <xf numFmtId="0" fontId="7" fillId="4" borderId="0" xfId="0" applyFont="1" applyFill="1"/>
    <xf numFmtId="0" fontId="7" fillId="0" borderId="0" xfId="0" applyFont="1" applyBorder="1"/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8" fillId="0" borderId="0" xfId="0" applyNumberFormat="1" applyFon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1" xfId="0" applyNumberFormat="1" applyFont="1" applyFill="1" applyBorder="1" applyAlignment="1">
      <alignment horizontal="center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I127"/>
  <sheetViews>
    <sheetView zoomScaleNormal="100" zoomScaleSheetLayoutView="75" workbookViewId="0">
      <selection activeCell="M4" sqref="M4"/>
    </sheetView>
  </sheetViews>
  <sheetFormatPr defaultColWidth="9.140625" defaultRowHeight="12"/>
  <cols>
    <col min="1" max="1" width="40.7109375" style="2" customWidth="1"/>
    <col min="2" max="2" width="1.7109375" style="2" customWidth="1"/>
    <col min="3" max="3" width="10" style="2" customWidth="1"/>
    <col min="4" max="4" width="1.7109375" style="2" hidden="1" customWidth="1"/>
    <col min="5" max="5" width="2" style="48" hidden="1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1.7109375" style="2" customWidth="1"/>
    <col min="30" max="30" width="1.7109375" style="2" customWidth="1"/>
    <col min="31" max="31" width="11.7109375" style="2" customWidth="1"/>
    <col min="32" max="16384" width="9.140625" style="2"/>
  </cols>
  <sheetData>
    <row r="1" spans="1:32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32">
      <c r="A2" s="3" t="s">
        <v>390</v>
      </c>
    </row>
    <row r="3" spans="1:32">
      <c r="A3" s="3"/>
    </row>
    <row r="4" spans="1:32">
      <c r="A4" s="17" t="s">
        <v>357</v>
      </c>
    </row>
    <row r="5" spans="1:32">
      <c r="A5" s="17"/>
    </row>
    <row r="6" spans="1:32">
      <c r="A6" s="17"/>
    </row>
    <row r="7" spans="1:32" s="13" customFormat="1">
      <c r="A7" s="17"/>
      <c r="E7" s="49"/>
    </row>
    <row r="8" spans="1:32">
      <c r="F8" s="6"/>
      <c r="G8" s="119" t="s">
        <v>2</v>
      </c>
      <c r="H8" s="119"/>
      <c r="I8" s="119"/>
      <c r="J8" s="119"/>
      <c r="K8" s="5"/>
      <c r="M8" s="119" t="s">
        <v>3</v>
      </c>
      <c r="N8" s="119"/>
      <c r="O8" s="119"/>
      <c r="P8" s="105"/>
      <c r="Q8" s="105"/>
      <c r="R8" s="5"/>
      <c r="S8" s="5"/>
      <c r="U8" s="119" t="s">
        <v>4</v>
      </c>
      <c r="V8" s="119"/>
      <c r="W8" s="119"/>
      <c r="X8" s="119"/>
      <c r="Y8" s="119"/>
      <c r="Z8" s="5"/>
      <c r="AA8" s="5"/>
      <c r="AC8" s="2" t="s">
        <v>5</v>
      </c>
      <c r="AE8" s="2" t="s">
        <v>5</v>
      </c>
    </row>
    <row r="9" spans="1:32">
      <c r="A9" s="83"/>
      <c r="F9" s="10"/>
      <c r="G9" s="7" t="s">
        <v>6</v>
      </c>
      <c r="H9" s="7"/>
      <c r="I9" s="7" t="s">
        <v>7</v>
      </c>
      <c r="J9" s="7"/>
      <c r="K9" s="8" t="s">
        <v>9</v>
      </c>
      <c r="M9" s="7" t="s">
        <v>6</v>
      </c>
      <c r="N9" s="7"/>
      <c r="O9" s="9" t="s">
        <v>10</v>
      </c>
      <c r="P9" s="9"/>
      <c r="Q9" s="9"/>
      <c r="R9" s="8"/>
      <c r="S9" s="8" t="s">
        <v>9</v>
      </c>
      <c r="U9" s="8" t="s">
        <v>11</v>
      </c>
      <c r="V9" s="8"/>
      <c r="W9" s="8"/>
      <c r="X9" s="8"/>
      <c r="Y9" s="8"/>
      <c r="Z9" s="8"/>
      <c r="AA9" s="8" t="s">
        <v>9</v>
      </c>
      <c r="AC9" s="2" t="s">
        <v>12</v>
      </c>
      <c r="AE9" s="2" t="s">
        <v>12</v>
      </c>
    </row>
    <row r="10" spans="1:32">
      <c r="A10" s="11" t="s">
        <v>434</v>
      </c>
      <c r="B10" s="7"/>
      <c r="C10" s="105" t="s">
        <v>13</v>
      </c>
      <c r="D10" s="7"/>
      <c r="E10" s="50" t="s">
        <v>14</v>
      </c>
      <c r="G10" s="105" t="s">
        <v>2</v>
      </c>
      <c r="H10" s="8"/>
      <c r="I10" s="105" t="s">
        <v>2</v>
      </c>
      <c r="J10" s="8"/>
      <c r="K10" s="105" t="s">
        <v>2</v>
      </c>
      <c r="L10" s="6"/>
      <c r="M10" s="11" t="s">
        <v>16</v>
      </c>
      <c r="N10" s="12"/>
      <c r="O10" s="11" t="s">
        <v>17</v>
      </c>
      <c r="P10" s="12"/>
      <c r="Q10" s="11" t="s">
        <v>18</v>
      </c>
      <c r="R10" s="12"/>
      <c r="S10" s="105" t="s">
        <v>16</v>
      </c>
      <c r="T10" s="6"/>
      <c r="U10" s="105" t="s">
        <v>19</v>
      </c>
      <c r="V10" s="8"/>
      <c r="W10" s="105" t="s">
        <v>20</v>
      </c>
      <c r="X10" s="8"/>
      <c r="Y10" s="105" t="s">
        <v>21</v>
      </c>
      <c r="Z10" s="8"/>
      <c r="AA10" s="11" t="s">
        <v>4</v>
      </c>
      <c r="AC10" s="24" t="s">
        <v>22</v>
      </c>
      <c r="AE10" s="24" t="s">
        <v>22</v>
      </c>
    </row>
    <row r="11" spans="1:32">
      <c r="A11" s="12"/>
      <c r="B11" s="7"/>
      <c r="C11" s="8"/>
      <c r="D11" s="7"/>
      <c r="E11" s="53"/>
      <c r="G11" s="8"/>
      <c r="H11" s="8"/>
      <c r="I11" s="8"/>
      <c r="J11" s="8"/>
      <c r="K11" s="8"/>
      <c r="L11" s="6"/>
      <c r="M11" s="12"/>
      <c r="N11" s="12"/>
      <c r="O11" s="12"/>
      <c r="P11" s="12"/>
      <c r="Q11" s="12"/>
      <c r="R11" s="12"/>
      <c r="S11" s="8"/>
      <c r="T11" s="6"/>
      <c r="U11" s="8"/>
      <c r="V11" s="8"/>
      <c r="W11" s="8"/>
      <c r="X11" s="8"/>
      <c r="Y11" s="8"/>
      <c r="Z11" s="8"/>
      <c r="AA11" s="12"/>
      <c r="AC11" s="6"/>
      <c r="AE11" s="6"/>
    </row>
    <row r="12" spans="1:32" ht="11.45" customHeight="1">
      <c r="A12" s="51" t="s">
        <v>346</v>
      </c>
      <c r="G12" s="8"/>
      <c r="H12" s="8"/>
      <c r="I12" s="8"/>
      <c r="J12" s="8"/>
      <c r="K12" s="8"/>
      <c r="L12" s="6"/>
      <c r="M12" s="12"/>
      <c r="N12" s="12"/>
      <c r="O12" s="12"/>
      <c r="P12" s="12"/>
      <c r="Q12" s="12"/>
      <c r="R12" s="12"/>
      <c r="S12" s="8"/>
      <c r="T12" s="6"/>
      <c r="U12" s="8"/>
      <c r="V12" s="8"/>
      <c r="W12" s="8"/>
      <c r="X12" s="8"/>
      <c r="Y12" s="8"/>
      <c r="Z12" s="8"/>
      <c r="AA12" s="12"/>
    </row>
    <row r="13" spans="1:32" s="13" customFormat="1" hidden="1">
      <c r="A13" s="13" t="s">
        <v>399</v>
      </c>
      <c r="C13" s="13" t="s">
        <v>365</v>
      </c>
      <c r="E13" s="49"/>
      <c r="G13" s="81">
        <f>+K13-I13</f>
        <v>6347800</v>
      </c>
      <c r="H13" s="81"/>
      <c r="I13" s="81">
        <v>0</v>
      </c>
      <c r="J13" s="81"/>
      <c r="K13" s="81">
        <v>6347800</v>
      </c>
      <c r="L13" s="81"/>
      <c r="M13" s="81">
        <f>+S13-O13-Q13</f>
        <v>0</v>
      </c>
      <c r="N13" s="81"/>
      <c r="O13" s="81">
        <v>0</v>
      </c>
      <c r="P13" s="81"/>
      <c r="Q13" s="81">
        <v>0</v>
      </c>
      <c r="R13" s="81"/>
      <c r="S13" s="81">
        <v>0</v>
      </c>
      <c r="T13" s="81"/>
      <c r="U13" s="81">
        <v>0</v>
      </c>
      <c r="V13" s="81"/>
      <c r="W13" s="81">
        <f>AA13-Y13-U13</f>
        <v>1651729</v>
      </c>
      <c r="X13" s="81"/>
      <c r="Y13" s="81">
        <v>4696071</v>
      </c>
      <c r="Z13" s="81"/>
      <c r="AA13" s="81">
        <v>6347800</v>
      </c>
      <c r="AC13" s="13">
        <f>+K13-S13-AA13</f>
        <v>0</v>
      </c>
      <c r="AE13" s="13">
        <f>+G13+I13-M13-O13-U13-W13-Y13-Q13</f>
        <v>0</v>
      </c>
      <c r="AF13" s="60" t="s">
        <v>400</v>
      </c>
    </row>
    <row r="14" spans="1:32" s="13" customFormat="1">
      <c r="A14" s="13" t="s">
        <v>323</v>
      </c>
      <c r="C14" s="13" t="s">
        <v>155</v>
      </c>
      <c r="E14" s="49">
        <v>62042</v>
      </c>
      <c r="G14" s="81">
        <f>+K14-I14</f>
        <v>8858490</v>
      </c>
      <c r="H14" s="81"/>
      <c r="I14" s="81">
        <v>4802672</v>
      </c>
      <c r="J14" s="81"/>
      <c r="K14" s="81">
        <v>13661162</v>
      </c>
      <c r="L14" s="81"/>
      <c r="M14" s="81">
        <f>+S14-O14-Q14</f>
        <v>2871230</v>
      </c>
      <c r="N14" s="81"/>
      <c r="O14" s="81">
        <v>138446</v>
      </c>
      <c r="P14" s="81"/>
      <c r="Q14" s="81">
        <v>1399917</v>
      </c>
      <c r="R14" s="81"/>
      <c r="S14" s="81">
        <v>4409593</v>
      </c>
      <c r="T14" s="81"/>
      <c r="U14" s="81">
        <v>3644371</v>
      </c>
      <c r="V14" s="81"/>
      <c r="W14" s="81">
        <f>AA14-Y14-U14</f>
        <v>368471</v>
      </c>
      <c r="X14" s="81"/>
      <c r="Y14" s="81">
        <v>5238727</v>
      </c>
      <c r="Z14" s="81"/>
      <c r="AA14" s="81">
        <v>9251569</v>
      </c>
      <c r="AC14" s="13">
        <f>+K14-S14-AA14</f>
        <v>0</v>
      </c>
      <c r="AE14" s="13">
        <f>+G14+I14-M14-O14-U14-W14-Y14-Q14</f>
        <v>0</v>
      </c>
      <c r="AF14" s="13" t="s">
        <v>401</v>
      </c>
    </row>
    <row r="15" spans="1:32" s="13" customFormat="1">
      <c r="A15" s="13" t="s">
        <v>265</v>
      </c>
      <c r="C15" s="13" t="s">
        <v>156</v>
      </c>
      <c r="E15" s="49">
        <v>50815</v>
      </c>
      <c r="G15" s="13">
        <f>+K15-I15</f>
        <v>16220818</v>
      </c>
      <c r="I15" s="13">
        <v>3839609</v>
      </c>
      <c r="K15" s="13">
        <v>20060427</v>
      </c>
      <c r="M15" s="13">
        <f>+S15-O15-Q15</f>
        <v>3689729</v>
      </c>
      <c r="O15" s="13">
        <v>154487</v>
      </c>
      <c r="Q15" s="13">
        <v>884946</v>
      </c>
      <c r="S15" s="13">
        <v>4729162</v>
      </c>
      <c r="U15" s="13">
        <v>3839609</v>
      </c>
      <c r="W15" s="13">
        <f>AA15-Y15-U15</f>
        <v>6107206</v>
      </c>
      <c r="Y15" s="13">
        <v>5384450</v>
      </c>
      <c r="AA15" s="13">
        <v>15331265</v>
      </c>
      <c r="AC15" s="13">
        <f t="shared" ref="AC15:AC63" si="0">+K15-S15-AA15</f>
        <v>0</v>
      </c>
      <c r="AE15" s="13">
        <f t="shared" ref="AE15:AE63" si="1">+G15+I15-M15-O15-U15-W15-Y15-Q15</f>
        <v>0</v>
      </c>
      <c r="AF15" s="13" t="s">
        <v>401</v>
      </c>
    </row>
    <row r="16" spans="1:32" s="13" customFormat="1">
      <c r="A16" s="13" t="s">
        <v>277</v>
      </c>
      <c r="C16" s="13" t="s">
        <v>158</v>
      </c>
      <c r="E16" s="49">
        <v>51169</v>
      </c>
      <c r="G16" s="13">
        <f t="shared" ref="G16:G84" si="2">+K16-I16</f>
        <v>9593472</v>
      </c>
      <c r="I16" s="13">
        <v>12585203</v>
      </c>
      <c r="K16" s="13">
        <v>22178675</v>
      </c>
      <c r="M16" s="13">
        <f t="shared" ref="M16:M84" si="3">+S16-O16-Q16</f>
        <v>3482843</v>
      </c>
      <c r="O16" s="13">
        <v>229534</v>
      </c>
      <c r="Q16" s="13">
        <v>621680</v>
      </c>
      <c r="S16" s="13">
        <v>4334057</v>
      </c>
      <c r="U16" s="13">
        <v>12585203</v>
      </c>
      <c r="W16" s="13">
        <f t="shared" ref="W16:W84" si="4">AA16-Y16-U16</f>
        <v>169404</v>
      </c>
      <c r="Y16" s="13">
        <v>5090011</v>
      </c>
      <c r="AA16" s="13">
        <v>17844618</v>
      </c>
      <c r="AC16" s="13">
        <f t="shared" si="0"/>
        <v>0</v>
      </c>
      <c r="AE16" s="13">
        <f t="shared" si="1"/>
        <v>0</v>
      </c>
      <c r="AF16" s="13" t="s">
        <v>401</v>
      </c>
    </row>
    <row r="17" spans="1:32" s="13" customFormat="1">
      <c r="A17" s="13" t="s">
        <v>267</v>
      </c>
      <c r="C17" s="13" t="s">
        <v>162</v>
      </c>
      <c r="E17" s="49">
        <v>50856</v>
      </c>
      <c r="G17" s="13">
        <f t="shared" si="2"/>
        <v>2782919</v>
      </c>
      <c r="I17" s="13">
        <v>2085521</v>
      </c>
      <c r="K17" s="13">
        <v>4868440</v>
      </c>
      <c r="M17" s="13">
        <f t="shared" si="3"/>
        <v>2068757</v>
      </c>
      <c r="O17" s="13">
        <v>89136</v>
      </c>
      <c r="Q17" s="13">
        <v>1580780</v>
      </c>
      <c r="S17" s="13">
        <v>3738673</v>
      </c>
      <c r="U17" s="13">
        <v>1752186</v>
      </c>
      <c r="W17" s="13">
        <f t="shared" si="4"/>
        <v>203310</v>
      </c>
      <c r="Y17" s="13">
        <v>-825729</v>
      </c>
      <c r="AA17" s="13">
        <v>1129767</v>
      </c>
      <c r="AC17" s="13">
        <f t="shared" si="0"/>
        <v>0</v>
      </c>
      <c r="AE17" s="13">
        <f t="shared" si="1"/>
        <v>0</v>
      </c>
      <c r="AF17" s="13" t="s">
        <v>401</v>
      </c>
    </row>
    <row r="18" spans="1:32" s="13" customFormat="1">
      <c r="A18" s="13" t="s">
        <v>290</v>
      </c>
      <c r="C18" s="13" t="s">
        <v>254</v>
      </c>
      <c r="E18" s="49">
        <v>51656</v>
      </c>
      <c r="G18" s="13">
        <f t="shared" si="2"/>
        <v>21952382</v>
      </c>
      <c r="H18" s="2"/>
      <c r="I18" s="2">
        <v>4723459</v>
      </c>
      <c r="J18" s="2"/>
      <c r="K18" s="2">
        <v>26675841</v>
      </c>
      <c r="L18" s="2"/>
      <c r="M18" s="13">
        <f t="shared" si="3"/>
        <v>5265489</v>
      </c>
      <c r="N18" s="2"/>
      <c r="O18" s="2">
        <v>126712</v>
      </c>
      <c r="P18" s="2"/>
      <c r="Q18" s="2">
        <v>612125</v>
      </c>
      <c r="R18" s="2"/>
      <c r="S18" s="2">
        <v>6004326</v>
      </c>
      <c r="T18" s="2"/>
      <c r="U18" s="2">
        <v>4490054</v>
      </c>
      <c r="V18" s="2"/>
      <c r="W18" s="2">
        <f t="shared" si="4"/>
        <v>11491298</v>
      </c>
      <c r="X18" s="2"/>
      <c r="Y18" s="2">
        <v>4690163</v>
      </c>
      <c r="Z18" s="2"/>
      <c r="AA18" s="2">
        <v>20671515</v>
      </c>
      <c r="AC18" s="13">
        <f t="shared" si="0"/>
        <v>0</v>
      </c>
      <c r="AE18" s="13">
        <f t="shared" si="1"/>
        <v>0</v>
      </c>
    </row>
    <row r="19" spans="1:32" s="13" customFormat="1">
      <c r="A19" s="13" t="s">
        <v>388</v>
      </c>
      <c r="C19" s="13" t="s">
        <v>159</v>
      </c>
      <c r="E19" s="49">
        <v>50880</v>
      </c>
      <c r="G19" s="13">
        <f t="shared" si="2"/>
        <v>77357960</v>
      </c>
      <c r="H19" s="2"/>
      <c r="I19" s="2">
        <v>3286487</v>
      </c>
      <c r="J19" s="2"/>
      <c r="K19" s="2">
        <v>80644447</v>
      </c>
      <c r="L19" s="2"/>
      <c r="M19" s="13">
        <f t="shared" si="3"/>
        <v>27416864</v>
      </c>
      <c r="N19" s="2"/>
      <c r="O19" s="2">
        <v>218881</v>
      </c>
      <c r="P19" s="2"/>
      <c r="Q19" s="2">
        <v>1934562</v>
      </c>
      <c r="R19" s="2"/>
      <c r="S19" s="2">
        <v>29570307</v>
      </c>
      <c r="T19" s="2"/>
      <c r="U19" s="2">
        <v>25786487</v>
      </c>
      <c r="V19" s="2"/>
      <c r="W19" s="2">
        <f t="shared" si="4"/>
        <v>18406747</v>
      </c>
      <c r="X19" s="2"/>
      <c r="Y19" s="2">
        <v>6880906</v>
      </c>
      <c r="Z19" s="2"/>
      <c r="AA19" s="2">
        <v>51074140</v>
      </c>
      <c r="AC19" s="13">
        <f>+K19-S19-AA19</f>
        <v>0</v>
      </c>
      <c r="AE19" s="13">
        <f>+G19+I19-M19-O19-U19-W19-Y19-Q19</f>
        <v>0</v>
      </c>
    </row>
    <row r="20" spans="1:32" s="13" customFormat="1" hidden="1">
      <c r="A20" s="17" t="s">
        <v>396</v>
      </c>
      <c r="C20" s="13" t="s">
        <v>282</v>
      </c>
      <c r="E20" s="49">
        <v>63511</v>
      </c>
      <c r="G20" s="13">
        <f t="shared" si="2"/>
        <v>0</v>
      </c>
      <c r="M20" s="13">
        <f t="shared" si="3"/>
        <v>0</v>
      </c>
      <c r="W20" s="13">
        <f t="shared" si="4"/>
        <v>0</v>
      </c>
      <c r="AC20" s="13">
        <f t="shared" si="0"/>
        <v>0</v>
      </c>
      <c r="AE20" s="13">
        <f t="shared" si="1"/>
        <v>0</v>
      </c>
      <c r="AF20" s="80" t="s">
        <v>397</v>
      </c>
    </row>
    <row r="21" spans="1:32" s="13" customFormat="1">
      <c r="A21" s="13" t="s">
        <v>392</v>
      </c>
      <c r="C21" s="13" t="s">
        <v>175</v>
      </c>
      <c r="E21" s="49">
        <v>50906</v>
      </c>
      <c r="G21" s="13">
        <f t="shared" si="2"/>
        <v>7434146</v>
      </c>
      <c r="H21" s="2"/>
      <c r="I21" s="2">
        <v>7077157</v>
      </c>
      <c r="J21" s="2"/>
      <c r="K21" s="2">
        <v>14511303</v>
      </c>
      <c r="L21" s="2"/>
      <c r="M21" s="13">
        <f t="shared" si="3"/>
        <v>2406036</v>
      </c>
      <c r="N21" s="2"/>
      <c r="O21" s="2">
        <v>105354</v>
      </c>
      <c r="P21" s="2"/>
      <c r="Q21" s="2">
        <v>356942</v>
      </c>
      <c r="R21" s="2"/>
      <c r="S21" s="2">
        <v>2868332</v>
      </c>
      <c r="T21" s="2"/>
      <c r="U21" s="2">
        <v>7077157</v>
      </c>
      <c r="V21" s="2"/>
      <c r="W21" s="2">
        <f t="shared" si="4"/>
        <v>2797768</v>
      </c>
      <c r="X21" s="2"/>
      <c r="Y21" s="2">
        <v>1768046</v>
      </c>
      <c r="Z21" s="2"/>
      <c r="AA21" s="2">
        <v>11642971</v>
      </c>
      <c r="AC21" s="13">
        <f>+K21-S21-AA21</f>
        <v>0</v>
      </c>
      <c r="AE21" s="13">
        <f t="shared" si="1"/>
        <v>0</v>
      </c>
    </row>
    <row r="22" spans="1:32" s="13" customFormat="1" ht="12.75" customHeight="1">
      <c r="A22" s="13" t="s">
        <v>328</v>
      </c>
      <c r="C22" s="13" t="s">
        <v>272</v>
      </c>
      <c r="E22" s="49">
        <v>65227</v>
      </c>
      <c r="G22" s="13">
        <f t="shared" si="2"/>
        <v>2551711</v>
      </c>
      <c r="H22" s="2"/>
      <c r="I22" s="2">
        <v>1016020</v>
      </c>
      <c r="J22" s="2"/>
      <c r="K22" s="2">
        <v>3567731</v>
      </c>
      <c r="L22" s="2"/>
      <c r="M22" s="13">
        <f t="shared" si="3"/>
        <v>1618409</v>
      </c>
      <c r="N22" s="2"/>
      <c r="O22" s="2">
        <v>55179</v>
      </c>
      <c r="P22" s="2"/>
      <c r="Q22" s="2">
        <v>507896</v>
      </c>
      <c r="R22" s="2"/>
      <c r="S22" s="2">
        <v>2181484</v>
      </c>
      <c r="T22" s="2"/>
      <c r="U22" s="2">
        <v>826020</v>
      </c>
      <c r="V22" s="2"/>
      <c r="W22" s="2">
        <f t="shared" si="4"/>
        <v>100079</v>
      </c>
      <c r="X22" s="2"/>
      <c r="Y22" s="2">
        <v>460148</v>
      </c>
      <c r="Z22" s="2"/>
      <c r="AA22" s="2">
        <v>1386247</v>
      </c>
      <c r="AC22" s="13">
        <f t="shared" si="0"/>
        <v>0</v>
      </c>
      <c r="AE22" s="13">
        <f t="shared" si="1"/>
        <v>0</v>
      </c>
    </row>
    <row r="23" spans="1:32" s="13" customFormat="1">
      <c r="A23" s="13" t="s">
        <v>403</v>
      </c>
      <c r="C23" s="13" t="s">
        <v>207</v>
      </c>
      <c r="E23" s="49">
        <v>51201</v>
      </c>
      <c r="G23" s="13">
        <f t="shared" si="2"/>
        <v>11771292</v>
      </c>
      <c r="I23" s="13">
        <v>39147999</v>
      </c>
      <c r="K23" s="13">
        <v>50919291</v>
      </c>
      <c r="M23" s="13">
        <f t="shared" si="3"/>
        <v>4826723</v>
      </c>
      <c r="O23" s="13">
        <v>4230155</v>
      </c>
      <c r="Q23" s="13">
        <v>29204146</v>
      </c>
      <c r="S23" s="13">
        <v>38261024</v>
      </c>
      <c r="U23" s="13">
        <v>14639665</v>
      </c>
      <c r="W23" s="13">
        <f t="shared" si="4"/>
        <v>918446</v>
      </c>
      <c r="Y23" s="13">
        <v>-2899844</v>
      </c>
      <c r="AA23" s="13">
        <v>12658267</v>
      </c>
      <c r="AC23" s="13">
        <f>+K23-S23-AA23</f>
        <v>0</v>
      </c>
      <c r="AE23" s="13">
        <f t="shared" si="1"/>
        <v>0</v>
      </c>
      <c r="AF23" s="13" t="s">
        <v>401</v>
      </c>
    </row>
    <row r="24" spans="1:32" s="13" customFormat="1">
      <c r="A24" s="13" t="s">
        <v>325</v>
      </c>
      <c r="C24" s="13" t="s">
        <v>177</v>
      </c>
      <c r="E24" s="49">
        <v>50922</v>
      </c>
      <c r="G24" s="13">
        <f t="shared" si="2"/>
        <v>27358914</v>
      </c>
      <c r="H24" s="2"/>
      <c r="I24" s="2">
        <v>16403006</v>
      </c>
      <c r="J24" s="2"/>
      <c r="K24" s="2">
        <v>43761920</v>
      </c>
      <c r="L24" s="2"/>
      <c r="M24" s="13">
        <f t="shared" si="3"/>
        <v>10572845</v>
      </c>
      <c r="N24" s="2"/>
      <c r="O24" s="2">
        <v>140815</v>
      </c>
      <c r="P24" s="2"/>
      <c r="Q24" s="2">
        <v>1606267</v>
      </c>
      <c r="R24" s="2"/>
      <c r="S24" s="2">
        <v>12319927</v>
      </c>
      <c r="T24" s="2"/>
      <c r="U24" s="2">
        <v>1640306</v>
      </c>
      <c r="V24" s="2"/>
      <c r="W24" s="2">
        <f t="shared" si="4"/>
        <v>17134025</v>
      </c>
      <c r="X24" s="2"/>
      <c r="Y24" s="2">
        <v>12667662</v>
      </c>
      <c r="Z24" s="2"/>
      <c r="AA24" s="2">
        <v>31441993</v>
      </c>
      <c r="AC24" s="13">
        <f t="shared" si="0"/>
        <v>0</v>
      </c>
      <c r="AE24" s="13">
        <f t="shared" si="1"/>
        <v>0</v>
      </c>
    </row>
    <row r="25" spans="1:32" s="13" customFormat="1">
      <c r="A25" s="13" t="s">
        <v>324</v>
      </c>
      <c r="C25" s="13" t="s">
        <v>181</v>
      </c>
      <c r="E25" s="49">
        <v>50989</v>
      </c>
      <c r="G25" s="13">
        <f t="shared" si="2"/>
        <v>25992369</v>
      </c>
      <c r="H25" s="2"/>
      <c r="I25" s="2">
        <v>14183599</v>
      </c>
      <c r="J25" s="2"/>
      <c r="K25" s="2">
        <v>40175968</v>
      </c>
      <c r="L25" s="2"/>
      <c r="M25" s="13">
        <f t="shared" si="3"/>
        <v>10148096</v>
      </c>
      <c r="N25" s="2"/>
      <c r="O25" s="2">
        <v>117448</v>
      </c>
      <c r="P25" s="2"/>
      <c r="Q25" s="2">
        <v>1247518</v>
      </c>
      <c r="R25" s="2"/>
      <c r="S25" s="2">
        <v>11513062</v>
      </c>
      <c r="T25" s="2"/>
      <c r="U25" s="2">
        <v>14066933</v>
      </c>
      <c r="V25" s="2"/>
      <c r="W25" s="2">
        <f t="shared" si="4"/>
        <v>2002680</v>
      </c>
      <c r="X25" s="2"/>
      <c r="Y25" s="2">
        <v>12593293</v>
      </c>
      <c r="Z25" s="2"/>
      <c r="AA25" s="2">
        <v>28662906</v>
      </c>
      <c r="AC25" s="13">
        <f t="shared" si="0"/>
        <v>0</v>
      </c>
      <c r="AE25" s="13">
        <f t="shared" si="1"/>
        <v>0</v>
      </c>
    </row>
    <row r="26" spans="1:32" s="13" customFormat="1">
      <c r="A26" s="13" t="s">
        <v>326</v>
      </c>
      <c r="C26" s="13" t="s">
        <v>186</v>
      </c>
      <c r="E26" s="49">
        <v>51003</v>
      </c>
      <c r="G26" s="13">
        <f t="shared" si="2"/>
        <v>38279726</v>
      </c>
      <c r="H26" s="2"/>
      <c r="I26" s="2">
        <v>19540471</v>
      </c>
      <c r="J26" s="2"/>
      <c r="K26" s="2">
        <v>57820197</v>
      </c>
      <c r="L26" s="2"/>
      <c r="M26" s="13">
        <f t="shared" si="3"/>
        <v>12048579</v>
      </c>
      <c r="N26" s="2"/>
      <c r="O26" s="2">
        <v>667719</v>
      </c>
      <c r="P26" s="2"/>
      <c r="Q26" s="2">
        <v>2149211</v>
      </c>
      <c r="R26" s="2"/>
      <c r="S26" s="2">
        <v>14865509</v>
      </c>
      <c r="T26" s="2"/>
      <c r="U26" s="2">
        <v>18922463</v>
      </c>
      <c r="V26" s="2"/>
      <c r="W26" s="2">
        <f t="shared" si="4"/>
        <v>37139</v>
      </c>
      <c r="X26" s="2"/>
      <c r="Y26" s="2">
        <v>23995086</v>
      </c>
      <c r="Z26" s="2"/>
      <c r="AA26" s="2">
        <v>42954688</v>
      </c>
      <c r="AC26" s="13">
        <f>+K26-S26-AA26</f>
        <v>0</v>
      </c>
      <c r="AE26" s="13">
        <f t="shared" si="1"/>
        <v>0</v>
      </c>
    </row>
    <row r="27" spans="1:32" s="13" customFormat="1">
      <c r="A27" s="13" t="s">
        <v>327</v>
      </c>
      <c r="C27" s="13" t="s">
        <v>183</v>
      </c>
      <c r="E27" s="49">
        <v>51029</v>
      </c>
      <c r="G27" s="13">
        <f t="shared" si="2"/>
        <v>12488711</v>
      </c>
      <c r="I27" s="13">
        <v>1808130</v>
      </c>
      <c r="K27" s="13">
        <v>14296841</v>
      </c>
      <c r="M27" s="13">
        <f t="shared" si="3"/>
        <v>6052715</v>
      </c>
      <c r="O27" s="13">
        <v>148237</v>
      </c>
      <c r="Q27" s="13">
        <v>2421927</v>
      </c>
      <c r="S27" s="13">
        <v>8622879</v>
      </c>
      <c r="U27" s="13">
        <v>220130</v>
      </c>
      <c r="W27" s="13">
        <f t="shared" si="4"/>
        <v>465666</v>
      </c>
      <c r="Y27" s="13">
        <v>4988166</v>
      </c>
      <c r="AA27" s="13">
        <v>5673962</v>
      </c>
      <c r="AC27" s="13">
        <f t="shared" si="0"/>
        <v>0</v>
      </c>
      <c r="AE27" s="13">
        <f t="shared" si="1"/>
        <v>0</v>
      </c>
      <c r="AF27" s="13" t="s">
        <v>401</v>
      </c>
    </row>
    <row r="28" spans="1:32" s="13" customFormat="1">
      <c r="A28" s="13" t="s">
        <v>329</v>
      </c>
      <c r="C28" s="13" t="s">
        <v>275</v>
      </c>
      <c r="E28" s="49">
        <v>50963</v>
      </c>
      <c r="G28" s="13">
        <f t="shared" si="2"/>
        <v>18565813</v>
      </c>
      <c r="H28" s="2"/>
      <c r="I28" s="2">
        <v>7924808</v>
      </c>
      <c r="J28" s="2"/>
      <c r="K28" s="2">
        <v>26490621</v>
      </c>
      <c r="L28" s="2"/>
      <c r="M28" s="13">
        <f t="shared" si="3"/>
        <v>6208470</v>
      </c>
      <c r="N28" s="2"/>
      <c r="O28" s="2">
        <v>123861</v>
      </c>
      <c r="P28" s="2"/>
      <c r="Q28" s="2">
        <v>1480747</v>
      </c>
      <c r="R28" s="2"/>
      <c r="S28" s="2">
        <v>7813078</v>
      </c>
      <c r="T28" s="2"/>
      <c r="U28" s="2">
        <v>7575923</v>
      </c>
      <c r="V28" s="2"/>
      <c r="W28" s="2">
        <f t="shared" si="4"/>
        <v>538934</v>
      </c>
      <c r="X28" s="2"/>
      <c r="Y28" s="2">
        <v>10562686</v>
      </c>
      <c r="Z28" s="2"/>
      <c r="AA28" s="2">
        <v>18677543</v>
      </c>
      <c r="AC28" s="13">
        <f t="shared" si="0"/>
        <v>0</v>
      </c>
      <c r="AE28" s="13">
        <f t="shared" si="1"/>
        <v>0</v>
      </c>
    </row>
    <row r="29" spans="1:32" ht="13.5" customHeight="1">
      <c r="A29" s="2" t="s">
        <v>273</v>
      </c>
      <c r="C29" s="2" t="s">
        <v>189</v>
      </c>
      <c r="E29" s="48">
        <v>62067</v>
      </c>
      <c r="G29" s="13">
        <f t="shared" si="2"/>
        <v>17232165</v>
      </c>
      <c r="I29" s="2">
        <v>17668418</v>
      </c>
      <c r="K29" s="2">
        <v>34900583</v>
      </c>
      <c r="M29" s="13">
        <f t="shared" si="3"/>
        <v>4045856</v>
      </c>
      <c r="O29" s="2">
        <v>237091</v>
      </c>
      <c r="Q29" s="2">
        <v>3265549</v>
      </c>
      <c r="S29" s="2">
        <v>7548496</v>
      </c>
      <c r="U29" s="2">
        <v>14790453</v>
      </c>
      <c r="W29" s="2">
        <f t="shared" si="4"/>
        <v>9104778</v>
      </c>
      <c r="Y29" s="2">
        <v>3456856</v>
      </c>
      <c r="AA29" s="2">
        <v>27352087</v>
      </c>
      <c r="AC29" s="13">
        <f t="shared" si="0"/>
        <v>0</v>
      </c>
      <c r="AE29" s="13">
        <f t="shared" si="1"/>
        <v>0</v>
      </c>
    </row>
    <row r="30" spans="1:32" s="13" customFormat="1">
      <c r="A30" s="13" t="s">
        <v>274</v>
      </c>
      <c r="C30" s="13" t="s">
        <v>195</v>
      </c>
      <c r="E30" s="49">
        <v>51060</v>
      </c>
      <c r="G30" s="13">
        <f t="shared" si="2"/>
        <v>105707200</v>
      </c>
      <c r="I30" s="13">
        <v>80031171</v>
      </c>
      <c r="K30" s="13">
        <v>185738371</v>
      </c>
      <c r="M30" s="13">
        <f t="shared" si="3"/>
        <v>30384250</v>
      </c>
      <c r="O30" s="13">
        <v>3908796</v>
      </c>
      <c r="Q30" s="13">
        <v>16611636</v>
      </c>
      <c r="S30" s="13">
        <v>50904682</v>
      </c>
      <c r="U30" s="13">
        <v>73901083</v>
      </c>
      <c r="W30" s="13">
        <f t="shared" si="4"/>
        <v>0</v>
      </c>
      <c r="Y30" s="13">
        <v>60932606</v>
      </c>
      <c r="AA30" s="13">
        <v>134833689</v>
      </c>
      <c r="AC30" s="13">
        <f t="shared" si="0"/>
        <v>0</v>
      </c>
      <c r="AE30" s="13">
        <f t="shared" si="1"/>
        <v>0</v>
      </c>
      <c r="AF30" s="13" t="s">
        <v>401</v>
      </c>
    </row>
    <row r="31" spans="1:32">
      <c r="A31" s="2" t="s">
        <v>330</v>
      </c>
      <c r="C31" s="2" t="s">
        <v>193</v>
      </c>
      <c r="E31" s="48">
        <v>51045</v>
      </c>
      <c r="G31" s="13">
        <f t="shared" si="2"/>
        <v>17499130</v>
      </c>
      <c r="I31" s="2">
        <v>8143551</v>
      </c>
      <c r="K31" s="2">
        <v>25642681</v>
      </c>
      <c r="M31" s="13">
        <f t="shared" si="3"/>
        <v>9422977</v>
      </c>
      <c r="O31" s="2">
        <v>83419</v>
      </c>
      <c r="Q31" s="2">
        <v>683307</v>
      </c>
      <c r="S31" s="2">
        <v>10189703</v>
      </c>
      <c r="U31" s="2">
        <v>7922111</v>
      </c>
      <c r="W31" s="2">
        <f t="shared" si="4"/>
        <v>4959392</v>
      </c>
      <c r="Y31" s="2">
        <v>2571475</v>
      </c>
      <c r="AA31" s="2">
        <v>15452978</v>
      </c>
      <c r="AC31" s="13">
        <f t="shared" si="0"/>
        <v>0</v>
      </c>
      <c r="AE31" s="13">
        <f t="shared" si="1"/>
        <v>0</v>
      </c>
    </row>
    <row r="32" spans="1:32">
      <c r="A32" s="2" t="s">
        <v>276</v>
      </c>
      <c r="C32" s="2" t="s">
        <v>200</v>
      </c>
      <c r="E32" s="48">
        <v>51128</v>
      </c>
      <c r="G32" s="13">
        <f t="shared" si="2"/>
        <v>2798341</v>
      </c>
      <c r="I32" s="2">
        <v>2133044</v>
      </c>
      <c r="K32" s="2">
        <v>4931385</v>
      </c>
      <c r="M32" s="13">
        <f t="shared" si="3"/>
        <v>2045219</v>
      </c>
      <c r="O32" s="2">
        <v>0</v>
      </c>
      <c r="Q32" s="2">
        <v>317853</v>
      </c>
      <c r="S32" s="2">
        <v>2363072</v>
      </c>
      <c r="U32" s="2">
        <v>2133044</v>
      </c>
      <c r="W32" s="2">
        <f t="shared" si="4"/>
        <v>67371</v>
      </c>
      <c r="Y32" s="2">
        <v>367898</v>
      </c>
      <c r="AA32" s="2">
        <v>2568313</v>
      </c>
      <c r="AC32" s="13">
        <f t="shared" si="0"/>
        <v>0</v>
      </c>
      <c r="AE32" s="13">
        <f t="shared" si="1"/>
        <v>0</v>
      </c>
    </row>
    <row r="33" spans="1:32">
      <c r="A33" s="2" t="s">
        <v>331</v>
      </c>
      <c r="C33" s="2" t="s">
        <v>202</v>
      </c>
      <c r="E33" s="48">
        <v>51144</v>
      </c>
      <c r="G33" s="13">
        <f t="shared" si="2"/>
        <v>19338082</v>
      </c>
      <c r="I33" s="2">
        <v>20359618</v>
      </c>
      <c r="K33" s="2">
        <v>39697700</v>
      </c>
      <c r="M33" s="13">
        <f t="shared" si="3"/>
        <v>3317252</v>
      </c>
      <c r="O33" s="2">
        <v>291356</v>
      </c>
      <c r="Q33" s="2">
        <v>5114571</v>
      </c>
      <c r="S33" s="2">
        <v>8723179</v>
      </c>
      <c r="U33" s="2">
        <v>15667216</v>
      </c>
      <c r="W33" s="2">
        <f t="shared" si="4"/>
        <v>3315925</v>
      </c>
      <c r="Y33" s="2">
        <v>11991380</v>
      </c>
      <c r="AA33" s="2">
        <v>30974521</v>
      </c>
      <c r="AC33" s="13">
        <f t="shared" si="0"/>
        <v>0</v>
      </c>
      <c r="AE33" s="13">
        <f t="shared" si="1"/>
        <v>0</v>
      </c>
    </row>
    <row r="34" spans="1:32" s="13" customFormat="1">
      <c r="A34" s="13" t="s">
        <v>278</v>
      </c>
      <c r="C34" s="13" t="s">
        <v>205</v>
      </c>
      <c r="E34" s="49">
        <v>51185</v>
      </c>
      <c r="G34" s="13">
        <f t="shared" si="2"/>
        <v>9572699</v>
      </c>
      <c r="H34" s="2"/>
      <c r="I34" s="2">
        <v>2839324</v>
      </c>
      <c r="J34" s="2"/>
      <c r="K34" s="2">
        <v>12412023</v>
      </c>
      <c r="L34" s="2"/>
      <c r="M34" s="13">
        <f t="shared" si="3"/>
        <v>2265116</v>
      </c>
      <c r="N34" s="2"/>
      <c r="O34" s="2">
        <v>29056</v>
      </c>
      <c r="P34" s="2"/>
      <c r="Q34" s="2">
        <v>419468</v>
      </c>
      <c r="R34" s="2"/>
      <c r="S34" s="2">
        <v>2713640</v>
      </c>
      <c r="T34" s="2"/>
      <c r="U34" s="2">
        <v>2810268</v>
      </c>
      <c r="V34" s="2"/>
      <c r="W34" s="2">
        <f t="shared" si="4"/>
        <v>3070661</v>
      </c>
      <c r="X34" s="2"/>
      <c r="Y34" s="2">
        <v>3817454</v>
      </c>
      <c r="Z34" s="2"/>
      <c r="AA34" s="2">
        <v>9698383</v>
      </c>
      <c r="AC34" s="13">
        <f t="shared" si="0"/>
        <v>0</v>
      </c>
      <c r="AE34" s="13">
        <f t="shared" si="1"/>
        <v>0</v>
      </c>
    </row>
    <row r="35" spans="1:32" s="69" customFormat="1" hidden="1">
      <c r="A35" s="93" t="s">
        <v>362</v>
      </c>
      <c r="C35" s="69" t="s">
        <v>207</v>
      </c>
      <c r="E35" s="70">
        <v>47977</v>
      </c>
      <c r="G35" s="69">
        <f t="shared" si="2"/>
        <v>0</v>
      </c>
      <c r="M35" s="69">
        <f t="shared" si="3"/>
        <v>0</v>
      </c>
      <c r="W35" s="69">
        <f t="shared" si="4"/>
        <v>0</v>
      </c>
      <c r="AC35" s="69">
        <f t="shared" si="0"/>
        <v>0</v>
      </c>
      <c r="AE35" s="69">
        <f t="shared" si="1"/>
        <v>0</v>
      </c>
      <c r="AF35" s="93" t="s">
        <v>404</v>
      </c>
    </row>
    <row r="36" spans="1:32">
      <c r="A36" s="2" t="s">
        <v>280</v>
      </c>
      <c r="C36" s="2" t="s">
        <v>154</v>
      </c>
      <c r="E36" s="48">
        <v>51227</v>
      </c>
      <c r="G36" s="13">
        <f t="shared" si="2"/>
        <v>24780017</v>
      </c>
      <c r="I36" s="2">
        <v>10260128</v>
      </c>
      <c r="K36" s="2">
        <v>35040145</v>
      </c>
      <c r="M36" s="13">
        <f t="shared" si="3"/>
        <v>13236020</v>
      </c>
      <c r="O36" s="2">
        <v>345649</v>
      </c>
      <c r="Q36" s="2">
        <v>2927309</v>
      </c>
      <c r="S36" s="2">
        <v>16508978</v>
      </c>
      <c r="U36" s="2">
        <v>10260128</v>
      </c>
      <c r="W36" s="2">
        <f t="shared" si="4"/>
        <v>2725909</v>
      </c>
      <c r="Y36" s="2">
        <v>5545130</v>
      </c>
      <c r="AA36" s="2">
        <v>18531167</v>
      </c>
      <c r="AC36" s="13">
        <f t="shared" si="0"/>
        <v>0</v>
      </c>
      <c r="AE36" s="13">
        <f t="shared" si="1"/>
        <v>0</v>
      </c>
    </row>
    <row r="37" spans="1:32" s="13" customFormat="1">
      <c r="A37" s="13" t="s">
        <v>283</v>
      </c>
      <c r="C37" s="13" t="s">
        <v>214</v>
      </c>
      <c r="E37" s="49">
        <v>51243</v>
      </c>
      <c r="G37" s="13">
        <f t="shared" si="2"/>
        <v>35370777</v>
      </c>
      <c r="H37" s="2"/>
      <c r="I37" s="2">
        <v>19319306</v>
      </c>
      <c r="J37" s="2"/>
      <c r="K37" s="2">
        <v>54690083</v>
      </c>
      <c r="L37" s="2"/>
      <c r="M37" s="13">
        <f t="shared" si="3"/>
        <v>8591076</v>
      </c>
      <c r="N37" s="2"/>
      <c r="O37" s="2">
        <v>280447</v>
      </c>
      <c r="P37" s="2"/>
      <c r="Q37" s="2">
        <v>16129413</v>
      </c>
      <c r="R37" s="2"/>
      <c r="S37" s="2">
        <v>25000936</v>
      </c>
      <c r="T37" s="2"/>
      <c r="U37" s="2">
        <v>4312369</v>
      </c>
      <c r="V37" s="2"/>
      <c r="W37" s="2">
        <f t="shared" si="4"/>
        <v>23009974</v>
      </c>
      <c r="X37" s="2"/>
      <c r="Y37" s="2">
        <v>2366804</v>
      </c>
      <c r="Z37" s="2"/>
      <c r="AA37" s="2">
        <v>29689147</v>
      </c>
      <c r="AC37" s="13">
        <f>+K37-S37-AA37</f>
        <v>0</v>
      </c>
      <c r="AE37" s="13">
        <f t="shared" si="1"/>
        <v>0</v>
      </c>
    </row>
    <row r="38" spans="1:32" s="13" customFormat="1">
      <c r="A38" s="13" t="s">
        <v>332</v>
      </c>
      <c r="C38" s="13" t="s">
        <v>230</v>
      </c>
      <c r="E38" s="49">
        <v>51391</v>
      </c>
      <c r="G38" s="13">
        <f t="shared" si="2"/>
        <v>26539905</v>
      </c>
      <c r="H38" s="2"/>
      <c r="I38" s="2">
        <v>8196415</v>
      </c>
      <c r="J38" s="2"/>
      <c r="K38" s="2">
        <v>34736320</v>
      </c>
      <c r="L38" s="2"/>
      <c r="M38" s="13">
        <f t="shared" si="3"/>
        <v>6634251</v>
      </c>
      <c r="N38" s="2"/>
      <c r="O38" s="2">
        <v>71405</v>
      </c>
      <c r="P38" s="2"/>
      <c r="Q38" s="2">
        <v>1130453</v>
      </c>
      <c r="R38" s="2"/>
      <c r="S38" s="2">
        <v>7836109</v>
      </c>
      <c r="T38" s="2"/>
      <c r="U38" s="2">
        <v>8196415</v>
      </c>
      <c r="V38" s="2"/>
      <c r="W38" s="2">
        <f t="shared" si="4"/>
        <v>256955</v>
      </c>
      <c r="X38" s="2"/>
      <c r="Y38" s="2">
        <v>18446841</v>
      </c>
      <c r="Z38" s="2"/>
      <c r="AA38" s="2">
        <v>26900211</v>
      </c>
      <c r="AC38" s="13">
        <f>+K38-S38-AA38</f>
        <v>0</v>
      </c>
      <c r="AE38" s="13">
        <f t="shared" si="1"/>
        <v>0</v>
      </c>
    </row>
    <row r="39" spans="1:32">
      <c r="A39" s="2" t="s">
        <v>286</v>
      </c>
      <c r="C39" s="2" t="s">
        <v>216</v>
      </c>
      <c r="E39" s="48">
        <v>62109</v>
      </c>
      <c r="G39" s="13">
        <f t="shared" si="2"/>
        <v>14610248</v>
      </c>
      <c r="I39" s="2">
        <v>8002884</v>
      </c>
      <c r="K39" s="2">
        <v>22613132</v>
      </c>
      <c r="M39" s="13">
        <f t="shared" si="3"/>
        <v>8378401</v>
      </c>
      <c r="O39" s="2">
        <v>95436</v>
      </c>
      <c r="Q39" s="2">
        <f>49035+1388417</f>
        <v>1437452</v>
      </c>
      <c r="S39" s="2">
        <v>9911289</v>
      </c>
      <c r="U39" s="2">
        <v>8002884</v>
      </c>
      <c r="W39" s="2">
        <f t="shared" si="4"/>
        <v>373073</v>
      </c>
      <c r="Y39" s="2">
        <v>4325886</v>
      </c>
      <c r="AA39" s="2">
        <v>12701843</v>
      </c>
      <c r="AC39" s="13">
        <f>+K39-S39-AA39</f>
        <v>0</v>
      </c>
      <c r="AE39" s="13">
        <f>+G39+I39-M39-O39-U39-W39-Y39-Q39</f>
        <v>0</v>
      </c>
    </row>
    <row r="40" spans="1:32">
      <c r="A40" s="2" t="s">
        <v>333</v>
      </c>
      <c r="C40" s="2" t="s">
        <v>222</v>
      </c>
      <c r="E40" s="48">
        <v>51284</v>
      </c>
      <c r="G40" s="13">
        <f t="shared" si="2"/>
        <v>20701905</v>
      </c>
      <c r="I40" s="2">
        <v>22817756</v>
      </c>
      <c r="K40" s="2">
        <v>43519661</v>
      </c>
      <c r="M40" s="13">
        <f t="shared" si="3"/>
        <v>14268708</v>
      </c>
      <c r="O40" s="2">
        <v>454344</v>
      </c>
      <c r="Q40" s="2">
        <v>10473509</v>
      </c>
      <c r="S40" s="2">
        <v>25196561</v>
      </c>
      <c r="U40" s="2">
        <v>17308833</v>
      </c>
      <c r="W40" s="2">
        <f t="shared" si="4"/>
        <v>1526022</v>
      </c>
      <c r="Y40" s="2">
        <v>-511755</v>
      </c>
      <c r="AA40" s="2">
        <v>18323100</v>
      </c>
      <c r="AC40" s="13">
        <f t="shared" si="0"/>
        <v>0</v>
      </c>
      <c r="AE40" s="13">
        <f t="shared" si="1"/>
        <v>0</v>
      </c>
    </row>
    <row r="41" spans="1:32">
      <c r="A41" s="2" t="s">
        <v>334</v>
      </c>
      <c r="C41" s="2" t="s">
        <v>224</v>
      </c>
      <c r="E41" s="48">
        <v>51300</v>
      </c>
      <c r="G41" s="13">
        <f t="shared" si="2"/>
        <v>23392834</v>
      </c>
      <c r="I41" s="2">
        <v>4780062</v>
      </c>
      <c r="K41" s="2">
        <v>28172896</v>
      </c>
      <c r="M41" s="13">
        <f t="shared" si="3"/>
        <v>8271428</v>
      </c>
      <c r="O41" s="2">
        <v>77852</v>
      </c>
      <c r="Q41" s="2">
        <v>616231</v>
      </c>
      <c r="S41" s="2">
        <v>8965511</v>
      </c>
      <c r="U41" s="2">
        <v>4734163</v>
      </c>
      <c r="W41" s="2">
        <f t="shared" si="4"/>
        <v>1066767</v>
      </c>
      <c r="Y41" s="2">
        <v>13406455</v>
      </c>
      <c r="AA41" s="2">
        <v>19207385</v>
      </c>
      <c r="AC41" s="13">
        <f t="shared" si="0"/>
        <v>0</v>
      </c>
      <c r="AE41" s="13">
        <f t="shared" si="1"/>
        <v>0</v>
      </c>
    </row>
    <row r="42" spans="1:32" s="13" customFormat="1">
      <c r="A42" s="13" t="s">
        <v>279</v>
      </c>
      <c r="C42" s="13" t="s">
        <v>209</v>
      </c>
      <c r="E42" s="49">
        <v>51334</v>
      </c>
      <c r="G42" s="13">
        <f t="shared" si="2"/>
        <v>0</v>
      </c>
      <c r="M42" s="13">
        <f t="shared" si="3"/>
        <v>0</v>
      </c>
      <c r="W42" s="13">
        <f t="shared" si="4"/>
        <v>0</v>
      </c>
      <c r="AC42" s="13">
        <f t="shared" si="0"/>
        <v>0</v>
      </c>
      <c r="AE42" s="13">
        <f t="shared" si="1"/>
        <v>0</v>
      </c>
    </row>
    <row r="43" spans="1:32" s="13" customFormat="1">
      <c r="A43" s="13" t="s">
        <v>335</v>
      </c>
      <c r="C43" s="13" t="s">
        <v>264</v>
      </c>
      <c r="E43" s="49">
        <v>51359</v>
      </c>
      <c r="G43" s="13">
        <f t="shared" si="2"/>
        <v>37032007</v>
      </c>
      <c r="H43" s="2"/>
      <c r="I43" s="2">
        <v>96484570</v>
      </c>
      <c r="J43" s="2"/>
      <c r="K43" s="2">
        <v>133516577</v>
      </c>
      <c r="L43" s="2"/>
      <c r="M43" s="13">
        <f t="shared" si="3"/>
        <v>16000288</v>
      </c>
      <c r="N43" s="2"/>
      <c r="O43" s="2">
        <v>2088656</v>
      </c>
      <c r="P43" s="2"/>
      <c r="Q43" s="2">
        <v>63858454</v>
      </c>
      <c r="R43" s="2"/>
      <c r="S43" s="2">
        <v>81947398</v>
      </c>
      <c r="T43" s="2"/>
      <c r="U43" s="2">
        <v>35456464</v>
      </c>
      <c r="V43" s="2"/>
      <c r="W43" s="2">
        <f t="shared" si="4"/>
        <v>13154794</v>
      </c>
      <c r="X43" s="2"/>
      <c r="Y43" s="2">
        <v>2957921</v>
      </c>
      <c r="Z43" s="2"/>
      <c r="AA43" s="2">
        <v>51569179</v>
      </c>
      <c r="AC43" s="13">
        <f t="shared" si="0"/>
        <v>0</v>
      </c>
      <c r="AE43" s="13">
        <f t="shared" si="1"/>
        <v>0</v>
      </c>
    </row>
    <row r="44" spans="1:32">
      <c r="A44" s="2" t="s">
        <v>336</v>
      </c>
      <c r="C44" s="2" t="s">
        <v>238</v>
      </c>
      <c r="E44" s="48">
        <v>51433</v>
      </c>
      <c r="G44" s="13">
        <f t="shared" si="2"/>
        <v>14740870</v>
      </c>
      <c r="I44" s="2">
        <v>20451290</v>
      </c>
      <c r="K44" s="2">
        <v>35192160</v>
      </c>
      <c r="M44" s="13">
        <f t="shared" si="3"/>
        <v>6030873</v>
      </c>
      <c r="O44" s="2">
        <v>445983</v>
      </c>
      <c r="Q44" s="2">
        <v>4782712</v>
      </c>
      <c r="S44" s="2">
        <v>11259568</v>
      </c>
      <c r="U44" s="2">
        <v>16903768</v>
      </c>
      <c r="W44" s="2">
        <f t="shared" si="4"/>
        <v>2422938</v>
      </c>
      <c r="Y44" s="2">
        <v>4605886</v>
      </c>
      <c r="AA44" s="2">
        <v>23932592</v>
      </c>
      <c r="AC44" s="13">
        <f t="shared" si="0"/>
        <v>0</v>
      </c>
      <c r="AE44" s="13">
        <f t="shared" si="1"/>
        <v>0</v>
      </c>
    </row>
    <row r="45" spans="1:32">
      <c r="A45" s="2" t="s">
        <v>337</v>
      </c>
      <c r="C45" s="2" t="s">
        <v>288</v>
      </c>
      <c r="E45" s="48">
        <v>51375</v>
      </c>
      <c r="G45" s="13">
        <f t="shared" si="2"/>
        <v>7211681</v>
      </c>
      <c r="I45" s="2">
        <v>19121080</v>
      </c>
      <c r="K45" s="2">
        <v>26332761</v>
      </c>
      <c r="M45" s="13">
        <f t="shared" si="3"/>
        <v>1593098</v>
      </c>
      <c r="O45" s="2">
        <v>180607</v>
      </c>
      <c r="Q45" s="2">
        <v>3967847</v>
      </c>
      <c r="S45" s="2">
        <v>5741552</v>
      </c>
      <c r="U45" s="2">
        <v>15583851</v>
      </c>
      <c r="W45" s="2">
        <f t="shared" si="4"/>
        <v>824764</v>
      </c>
      <c r="Y45" s="2">
        <v>4182594</v>
      </c>
      <c r="AA45" s="2">
        <v>20591209</v>
      </c>
      <c r="AC45" s="13">
        <f t="shared" si="0"/>
        <v>0</v>
      </c>
      <c r="AE45" s="13">
        <f t="shared" si="1"/>
        <v>0</v>
      </c>
    </row>
    <row r="46" spans="1:32" s="13" customFormat="1">
      <c r="A46" s="13" t="s">
        <v>338</v>
      </c>
      <c r="C46" s="13" t="s">
        <v>236</v>
      </c>
      <c r="E46" s="49">
        <v>51417</v>
      </c>
      <c r="G46" s="13">
        <f t="shared" si="2"/>
        <v>54945890</v>
      </c>
      <c r="H46" s="2"/>
      <c r="I46" s="2">
        <v>3488340</v>
      </c>
      <c r="J46" s="2"/>
      <c r="K46" s="2">
        <v>58434230</v>
      </c>
      <c r="L46" s="2"/>
      <c r="M46" s="13">
        <f t="shared" si="3"/>
        <v>4368748</v>
      </c>
      <c r="N46" s="2"/>
      <c r="O46" s="2">
        <v>909951</v>
      </c>
      <c r="P46" s="2"/>
      <c r="Q46" s="2">
        <v>14258887</v>
      </c>
      <c r="R46" s="2"/>
      <c r="S46" s="2">
        <v>19537586</v>
      </c>
      <c r="T46" s="2"/>
      <c r="U46" s="2">
        <v>2247674</v>
      </c>
      <c r="V46" s="2"/>
      <c r="W46" s="2">
        <f t="shared" si="4"/>
        <v>25467278</v>
      </c>
      <c r="X46" s="2"/>
      <c r="Y46" s="2">
        <v>11181692</v>
      </c>
      <c r="Z46" s="2"/>
      <c r="AA46" s="2">
        <v>38896644</v>
      </c>
      <c r="AC46" s="13">
        <f t="shared" si="0"/>
        <v>0</v>
      </c>
      <c r="AE46" s="13">
        <f t="shared" si="1"/>
        <v>0</v>
      </c>
    </row>
    <row r="47" spans="1:32" s="13" customFormat="1">
      <c r="A47" s="13" t="s">
        <v>339</v>
      </c>
      <c r="C47" s="13" t="s">
        <v>177</v>
      </c>
      <c r="E47" s="49">
        <v>50948</v>
      </c>
      <c r="G47" s="13">
        <f t="shared" si="2"/>
        <v>20039069</v>
      </c>
      <c r="H47" s="2"/>
      <c r="I47" s="2">
        <v>6166215</v>
      </c>
      <c r="J47" s="2"/>
      <c r="K47" s="2">
        <v>26205284</v>
      </c>
      <c r="L47" s="2"/>
      <c r="M47" s="13">
        <f t="shared" si="3"/>
        <v>8202681</v>
      </c>
      <c r="N47" s="2"/>
      <c r="O47" s="2">
        <f>727975+157676</f>
        <v>885651</v>
      </c>
      <c r="P47" s="2"/>
      <c r="Q47" s="2">
        <f>1450280+234873</f>
        <v>1685153</v>
      </c>
      <c r="R47" s="2"/>
      <c r="S47" s="2">
        <v>10773485</v>
      </c>
      <c r="T47" s="2"/>
      <c r="U47" s="2">
        <v>6166215</v>
      </c>
      <c r="V47" s="2"/>
      <c r="W47" s="2">
        <f t="shared" si="4"/>
        <v>822736</v>
      </c>
      <c r="X47" s="2"/>
      <c r="Y47" s="2">
        <v>8442848</v>
      </c>
      <c r="Z47" s="2"/>
      <c r="AA47" s="2">
        <v>15431799</v>
      </c>
      <c r="AC47" s="13">
        <f t="shared" si="0"/>
        <v>0</v>
      </c>
      <c r="AE47" s="13">
        <f t="shared" si="1"/>
        <v>0</v>
      </c>
      <c r="AF47" s="13" t="s">
        <v>401</v>
      </c>
    </row>
    <row r="48" spans="1:32" s="13" customFormat="1">
      <c r="A48" s="13" t="s">
        <v>340</v>
      </c>
      <c r="C48" s="13" t="s">
        <v>250</v>
      </c>
      <c r="E48" s="49">
        <v>63495</v>
      </c>
      <c r="G48" s="13">
        <f t="shared" si="2"/>
        <v>17326364</v>
      </c>
      <c r="H48" s="2"/>
      <c r="I48" s="2">
        <v>1733839</v>
      </c>
      <c r="J48" s="2"/>
      <c r="K48" s="2">
        <v>19060203</v>
      </c>
      <c r="L48" s="2"/>
      <c r="M48" s="13">
        <f t="shared" si="3"/>
        <v>3464896</v>
      </c>
      <c r="N48" s="2"/>
      <c r="O48" s="2">
        <v>84558</v>
      </c>
      <c r="P48" s="2"/>
      <c r="Q48" s="2">
        <v>767185</v>
      </c>
      <c r="R48" s="2"/>
      <c r="S48" s="2">
        <v>4316639</v>
      </c>
      <c r="T48" s="2"/>
      <c r="U48" s="2">
        <v>1400504</v>
      </c>
      <c r="V48" s="2"/>
      <c r="W48" s="2">
        <f t="shared" si="4"/>
        <v>3843157</v>
      </c>
      <c r="X48" s="2"/>
      <c r="Y48" s="2">
        <v>9499903</v>
      </c>
      <c r="Z48" s="2"/>
      <c r="AA48" s="2">
        <v>14743564</v>
      </c>
      <c r="AC48" s="13">
        <f t="shared" si="0"/>
        <v>0</v>
      </c>
      <c r="AE48" s="13">
        <f t="shared" si="1"/>
        <v>0</v>
      </c>
    </row>
    <row r="49" spans="1:32" s="13" customFormat="1">
      <c r="A49" s="13" t="s">
        <v>341</v>
      </c>
      <c r="C49" s="13" t="s">
        <v>242</v>
      </c>
      <c r="E49" s="49">
        <v>51490</v>
      </c>
      <c r="G49" s="13">
        <f t="shared" si="2"/>
        <v>11193627</v>
      </c>
      <c r="H49" s="2"/>
      <c r="I49" s="2">
        <v>22186230</v>
      </c>
      <c r="J49" s="2"/>
      <c r="K49" s="2">
        <v>33379857</v>
      </c>
      <c r="L49" s="2"/>
      <c r="M49" s="13">
        <f t="shared" si="3"/>
        <v>4482996</v>
      </c>
      <c r="N49" s="2"/>
      <c r="O49" s="2">
        <v>134574</v>
      </c>
      <c r="P49" s="2"/>
      <c r="Q49" s="2">
        <f>3895581-134574</f>
        <v>3761007</v>
      </c>
      <c r="R49" s="2"/>
      <c r="S49" s="2">
        <v>8378577</v>
      </c>
      <c r="T49" s="2"/>
      <c r="U49" s="2">
        <v>18890230</v>
      </c>
      <c r="V49" s="2"/>
      <c r="W49" s="2">
        <f t="shared" si="4"/>
        <v>3783133</v>
      </c>
      <c r="X49" s="2"/>
      <c r="Y49" s="2">
        <v>2327917</v>
      </c>
      <c r="Z49" s="2"/>
      <c r="AA49" s="2">
        <v>25001280</v>
      </c>
      <c r="AC49" s="13">
        <f t="shared" si="0"/>
        <v>0</v>
      </c>
      <c r="AE49" s="13">
        <f t="shared" si="1"/>
        <v>0</v>
      </c>
    </row>
    <row r="50" spans="1:32">
      <c r="A50" s="2" t="s">
        <v>268</v>
      </c>
      <c r="C50" s="2" t="s">
        <v>164</v>
      </c>
      <c r="E50" s="48">
        <v>50799</v>
      </c>
      <c r="G50" s="13">
        <f t="shared" si="2"/>
        <v>11190984</v>
      </c>
      <c r="I50" s="2">
        <v>13104838</v>
      </c>
      <c r="K50" s="2">
        <v>24295822</v>
      </c>
      <c r="M50" s="13">
        <f t="shared" si="3"/>
        <v>2627944</v>
      </c>
      <c r="O50" s="2">
        <v>228261</v>
      </c>
      <c r="Q50" s="2">
        <f>4072187-228261</f>
        <v>3843926</v>
      </c>
      <c r="S50" s="2">
        <v>6700131</v>
      </c>
      <c r="U50" s="2">
        <v>10713407</v>
      </c>
      <c r="W50" s="2">
        <f t="shared" si="4"/>
        <v>4053890</v>
      </c>
      <c r="Y50" s="2">
        <v>2828394</v>
      </c>
      <c r="AA50" s="2">
        <v>17595691</v>
      </c>
      <c r="AC50" s="13">
        <f t="shared" si="0"/>
        <v>0</v>
      </c>
      <c r="AE50" s="13">
        <f t="shared" si="1"/>
        <v>0</v>
      </c>
    </row>
    <row r="51" spans="1:32" s="13" customFormat="1">
      <c r="A51" s="13" t="s">
        <v>387</v>
      </c>
      <c r="C51" s="13" t="s">
        <v>169</v>
      </c>
      <c r="E51" s="49">
        <v>51532</v>
      </c>
      <c r="G51" s="13">
        <f t="shared" si="2"/>
        <v>10584729</v>
      </c>
      <c r="H51" s="2"/>
      <c r="I51" s="2">
        <v>7628097</v>
      </c>
      <c r="J51" s="2"/>
      <c r="K51" s="2">
        <v>18212826</v>
      </c>
      <c r="L51" s="2"/>
      <c r="M51" s="13">
        <f t="shared" si="3"/>
        <v>4403193</v>
      </c>
      <c r="N51" s="2"/>
      <c r="O51" s="2">
        <v>557524</v>
      </c>
      <c r="P51" s="2"/>
      <c r="Q51" s="2">
        <f>4426474-557524</f>
        <v>3868950</v>
      </c>
      <c r="R51" s="2"/>
      <c r="S51" s="2">
        <v>8829667</v>
      </c>
      <c r="T51" s="2"/>
      <c r="U51" s="2">
        <v>4154136</v>
      </c>
      <c r="V51" s="2"/>
      <c r="W51" s="2">
        <f t="shared" si="4"/>
        <v>182560</v>
      </c>
      <c r="X51" s="2"/>
      <c r="Y51" s="2">
        <v>5046463</v>
      </c>
      <c r="Z51" s="2"/>
      <c r="AA51" s="2">
        <v>9383159</v>
      </c>
      <c r="AC51" s="13">
        <f>+K51-S51-AA51</f>
        <v>0</v>
      </c>
      <c r="AE51" s="13">
        <f>+G51+I51-M51-O51-U51-W51-Y51-Q51</f>
        <v>0</v>
      </c>
    </row>
    <row r="52" spans="1:32">
      <c r="A52" s="2" t="s">
        <v>289</v>
      </c>
      <c r="C52" s="2" t="s">
        <v>248</v>
      </c>
      <c r="E52" s="48">
        <v>62026</v>
      </c>
      <c r="G52" s="13">
        <f t="shared" si="2"/>
        <v>12680670</v>
      </c>
      <c r="I52" s="2">
        <v>6022844</v>
      </c>
      <c r="K52" s="2">
        <v>18703514</v>
      </c>
      <c r="M52" s="13">
        <f t="shared" si="3"/>
        <v>2963552</v>
      </c>
      <c r="O52" s="2">
        <v>54149</v>
      </c>
      <c r="Q52" s="2">
        <f>830478-54149</f>
        <v>776329</v>
      </c>
      <c r="S52" s="2">
        <v>3794030</v>
      </c>
      <c r="U52" s="2">
        <v>6022844</v>
      </c>
      <c r="W52" s="2">
        <f t="shared" si="4"/>
        <v>135754</v>
      </c>
      <c r="Y52" s="2">
        <v>8750886</v>
      </c>
      <c r="AA52" s="2">
        <v>14909484</v>
      </c>
      <c r="AC52" s="13">
        <f>+K52-S52-AA52</f>
        <v>0</v>
      </c>
      <c r="AE52" s="13">
        <f>+G52+I52-M52-O52-U52-W52-Y52-Q52</f>
        <v>0</v>
      </c>
    </row>
    <row r="53" spans="1:32">
      <c r="A53" s="13" t="s">
        <v>398</v>
      </c>
      <c r="B53" s="19"/>
      <c r="C53" s="19" t="s">
        <v>282</v>
      </c>
      <c r="G53" s="13">
        <f t="shared" si="2"/>
        <v>14832759</v>
      </c>
      <c r="I53" s="2">
        <v>18658005</v>
      </c>
      <c r="K53" s="2">
        <v>33490764</v>
      </c>
      <c r="M53" s="13">
        <f t="shared" si="3"/>
        <v>5307633</v>
      </c>
      <c r="O53" s="2">
        <v>665197</v>
      </c>
      <c r="Q53" s="2">
        <v>6723967</v>
      </c>
      <c r="S53" s="2">
        <v>12696797</v>
      </c>
      <c r="U53" s="2">
        <v>12533144</v>
      </c>
      <c r="W53" s="2">
        <f t="shared" si="4"/>
        <v>255904</v>
      </c>
      <c r="Y53" s="2">
        <v>8004919</v>
      </c>
      <c r="AA53" s="2">
        <v>20793967</v>
      </c>
      <c r="AC53" s="13">
        <f t="shared" ref="AC53:AC54" si="5">+K53-S53-AA53</f>
        <v>0</v>
      </c>
      <c r="AE53" s="13">
        <f t="shared" ref="AE53:AE54" si="6">+G53+I53-M53-O53-U53-W53-Y53-Q53</f>
        <v>0</v>
      </c>
      <c r="AF53" s="3" t="s">
        <v>402</v>
      </c>
    </row>
    <row r="54" spans="1:32" s="13" customFormat="1">
      <c r="A54" s="13" t="s">
        <v>423</v>
      </c>
      <c r="C54" s="13" t="s">
        <v>157</v>
      </c>
      <c r="E54" s="49">
        <v>51607</v>
      </c>
      <c r="G54" s="13">
        <f t="shared" si="2"/>
        <v>6688341</v>
      </c>
      <c r="H54" s="2"/>
      <c r="I54" s="2">
        <v>1694398</v>
      </c>
      <c r="J54" s="2"/>
      <c r="K54" s="2">
        <v>8382739</v>
      </c>
      <c r="L54" s="2"/>
      <c r="M54" s="13">
        <f t="shared" si="3"/>
        <v>3207148</v>
      </c>
      <c r="N54" s="2"/>
      <c r="O54" s="2">
        <f>77564+4995</f>
        <v>82559</v>
      </c>
      <c r="P54" s="2"/>
      <c r="Q54" s="2">
        <f>509145+6056-77564-4995</f>
        <v>432642</v>
      </c>
      <c r="R54" s="2"/>
      <c r="S54" s="2">
        <v>3722349</v>
      </c>
      <c r="T54" s="2"/>
      <c r="U54" s="2">
        <v>1694398</v>
      </c>
      <c r="V54" s="2"/>
      <c r="W54" s="2">
        <f t="shared" si="4"/>
        <v>735309</v>
      </c>
      <c r="X54" s="2"/>
      <c r="Y54" s="2">
        <v>2230683</v>
      </c>
      <c r="Z54" s="2"/>
      <c r="AA54" s="2">
        <v>4660390</v>
      </c>
      <c r="AC54" s="13">
        <f t="shared" si="5"/>
        <v>0</v>
      </c>
      <c r="AE54" s="13">
        <f t="shared" si="6"/>
        <v>0</v>
      </c>
    </row>
    <row r="55" spans="1:32">
      <c r="A55" s="2" t="s">
        <v>284</v>
      </c>
      <c r="C55" s="2" t="s">
        <v>285</v>
      </c>
      <c r="E55" s="48">
        <v>65268</v>
      </c>
      <c r="G55" s="13">
        <f t="shared" si="2"/>
        <v>5418425</v>
      </c>
      <c r="I55" s="2">
        <v>6461257</v>
      </c>
      <c r="K55" s="2">
        <v>11879682</v>
      </c>
      <c r="M55" s="13">
        <f t="shared" si="3"/>
        <v>2893694</v>
      </c>
      <c r="O55" s="2">
        <f>149322+13748</f>
        <v>163070</v>
      </c>
      <c r="Q55" s="2">
        <f>546935+43335-149322-13748</f>
        <v>427200</v>
      </c>
      <c r="S55" s="2">
        <v>3483964</v>
      </c>
      <c r="U55" s="2">
        <v>6210754</v>
      </c>
      <c r="W55" s="2">
        <f t="shared" si="4"/>
        <v>40898</v>
      </c>
      <c r="Y55" s="2">
        <v>2144066</v>
      </c>
      <c r="AA55" s="2">
        <v>8395718</v>
      </c>
      <c r="AC55" s="13">
        <f t="shared" si="0"/>
        <v>0</v>
      </c>
      <c r="AE55" s="13">
        <f t="shared" si="1"/>
        <v>0</v>
      </c>
    </row>
    <row r="56" spans="1:32" s="13" customFormat="1">
      <c r="A56" s="13" t="s">
        <v>342</v>
      </c>
      <c r="C56" s="13" t="s">
        <v>252</v>
      </c>
      <c r="E56" s="49">
        <v>51631</v>
      </c>
      <c r="G56" s="13">
        <f t="shared" si="2"/>
        <v>17815567</v>
      </c>
      <c r="H56" s="2"/>
      <c r="I56" s="2">
        <v>9602903</v>
      </c>
      <c r="J56" s="2"/>
      <c r="K56" s="2">
        <v>27418470</v>
      </c>
      <c r="L56" s="2"/>
      <c r="M56" s="13">
        <f t="shared" si="3"/>
        <v>6483323</v>
      </c>
      <c r="N56" s="2"/>
      <c r="O56" s="2">
        <f>384238+34811</f>
        <v>419049</v>
      </c>
      <c r="P56" s="2"/>
      <c r="Q56" s="2">
        <f>7401642+120400-384238-34811</f>
        <v>7102993</v>
      </c>
      <c r="R56" s="2"/>
      <c r="S56" s="2">
        <v>14005365</v>
      </c>
      <c r="T56" s="2"/>
      <c r="U56" s="2">
        <v>3707903</v>
      </c>
      <c r="V56" s="2"/>
      <c r="W56" s="2">
        <f t="shared" si="4"/>
        <v>597914</v>
      </c>
      <c r="X56" s="2"/>
      <c r="Y56" s="2">
        <v>9107288</v>
      </c>
      <c r="Z56" s="2"/>
      <c r="AA56" s="2">
        <v>13413105</v>
      </c>
      <c r="AC56" s="13">
        <f t="shared" si="0"/>
        <v>0</v>
      </c>
      <c r="AE56" s="13">
        <f t="shared" si="1"/>
        <v>0</v>
      </c>
    </row>
    <row r="57" spans="1:32">
      <c r="A57" s="2" t="s">
        <v>270</v>
      </c>
      <c r="C57" s="2" t="s">
        <v>171</v>
      </c>
      <c r="E57" s="48">
        <v>62802</v>
      </c>
      <c r="G57" s="13">
        <f t="shared" si="2"/>
        <v>11236000</v>
      </c>
      <c r="I57" s="2">
        <v>2138783</v>
      </c>
      <c r="K57" s="2">
        <v>13374783</v>
      </c>
      <c r="M57" s="13">
        <f t="shared" si="3"/>
        <v>3727194</v>
      </c>
      <c r="O57" s="2">
        <v>161106</v>
      </c>
      <c r="Q57" s="2">
        <f>678589-161106</f>
        <v>517483</v>
      </c>
      <c r="S57" s="2">
        <v>4405783</v>
      </c>
      <c r="U57" s="2">
        <v>2080328</v>
      </c>
      <c r="W57" s="2">
        <f t="shared" si="4"/>
        <v>582521</v>
      </c>
      <c r="Y57" s="2">
        <v>6306151</v>
      </c>
      <c r="AA57" s="2">
        <v>8969000</v>
      </c>
      <c r="AC57" s="13">
        <f t="shared" si="0"/>
        <v>0</v>
      </c>
      <c r="AE57" s="13">
        <f t="shared" si="1"/>
        <v>0</v>
      </c>
    </row>
    <row r="58" spans="1:32">
      <c r="A58" s="2" t="s">
        <v>287</v>
      </c>
      <c r="C58" s="2" t="s">
        <v>220</v>
      </c>
      <c r="E58" s="48">
        <v>62125</v>
      </c>
      <c r="G58" s="13">
        <f t="shared" si="2"/>
        <v>15433477</v>
      </c>
      <c r="I58" s="2">
        <v>13748068</v>
      </c>
      <c r="K58" s="2">
        <v>29181545</v>
      </c>
      <c r="M58" s="13">
        <f t="shared" si="3"/>
        <v>7876751</v>
      </c>
      <c r="O58" s="2">
        <v>80400</v>
      </c>
      <c r="Q58" s="2">
        <f>1398063-80400</f>
        <v>1317663</v>
      </c>
      <c r="S58" s="2">
        <v>9274814</v>
      </c>
      <c r="U58" s="2">
        <v>13078068</v>
      </c>
      <c r="W58" s="2">
        <f t="shared" si="4"/>
        <v>2327625</v>
      </c>
      <c r="Y58" s="2">
        <v>4501038</v>
      </c>
      <c r="AA58" s="2">
        <v>19906731</v>
      </c>
      <c r="AC58" s="13">
        <f t="shared" si="0"/>
        <v>0</v>
      </c>
      <c r="AE58" s="13">
        <f t="shared" si="1"/>
        <v>0</v>
      </c>
    </row>
    <row r="59" spans="1:32" s="13" customFormat="1">
      <c r="A59" s="13" t="s">
        <v>343</v>
      </c>
      <c r="C59" s="13" t="s">
        <v>240</v>
      </c>
      <c r="E59" s="49">
        <v>51458</v>
      </c>
      <c r="G59" s="13">
        <f t="shared" si="2"/>
        <v>19913815</v>
      </c>
      <c r="H59" s="2"/>
      <c r="I59" s="2">
        <v>9498357</v>
      </c>
      <c r="J59" s="2"/>
      <c r="K59" s="2">
        <v>29412172</v>
      </c>
      <c r="L59" s="2"/>
      <c r="M59" s="13">
        <f t="shared" si="3"/>
        <v>4673908</v>
      </c>
      <c r="N59" s="2"/>
      <c r="O59" s="2">
        <v>101162</v>
      </c>
      <c r="P59" s="2"/>
      <c r="Q59" s="2">
        <f>989495-101162</f>
        <v>888333</v>
      </c>
      <c r="R59" s="2"/>
      <c r="S59" s="2">
        <v>5663403</v>
      </c>
      <c r="T59" s="2"/>
      <c r="U59" s="2">
        <v>9498357</v>
      </c>
      <c r="V59" s="2"/>
      <c r="W59" s="2">
        <f t="shared" si="4"/>
        <v>164231</v>
      </c>
      <c r="X59" s="2"/>
      <c r="Y59" s="2">
        <v>14086181</v>
      </c>
      <c r="Z59" s="2"/>
      <c r="AA59" s="2">
        <v>23748769</v>
      </c>
      <c r="AC59" s="13">
        <f>+K59-S59-AA59</f>
        <v>0</v>
      </c>
      <c r="AE59" s="13">
        <f t="shared" si="1"/>
        <v>0</v>
      </c>
    </row>
    <row r="60" spans="1:32" s="13" customFormat="1">
      <c r="A60" s="13" t="s">
        <v>344</v>
      </c>
      <c r="C60" s="13" t="s">
        <v>256</v>
      </c>
      <c r="E60" s="49">
        <v>51672</v>
      </c>
      <c r="G60" s="13">
        <f t="shared" si="2"/>
        <v>10956640</v>
      </c>
      <c r="H60" s="2"/>
      <c r="I60" s="2">
        <v>3523641</v>
      </c>
      <c r="J60" s="2"/>
      <c r="K60" s="2">
        <v>14480281</v>
      </c>
      <c r="L60" s="2"/>
      <c r="M60" s="13">
        <f t="shared" si="3"/>
        <v>3974526</v>
      </c>
      <c r="N60" s="2"/>
      <c r="O60" s="2">
        <v>105571</v>
      </c>
      <c r="P60" s="2"/>
      <c r="Q60" s="2">
        <f>650197-105571</f>
        <v>544626</v>
      </c>
      <c r="R60" s="2"/>
      <c r="S60" s="2">
        <v>4624723</v>
      </c>
      <c r="T60" s="2"/>
      <c r="U60" s="2">
        <v>3377418</v>
      </c>
      <c r="V60" s="2"/>
      <c r="W60" s="2">
        <f t="shared" si="4"/>
        <v>4202846</v>
      </c>
      <c r="X60" s="2"/>
      <c r="Y60" s="2">
        <v>2275294</v>
      </c>
      <c r="Z60" s="2"/>
      <c r="AA60" s="2">
        <v>9855558</v>
      </c>
      <c r="AC60" s="13">
        <f t="shared" si="0"/>
        <v>0</v>
      </c>
      <c r="AE60" s="13">
        <f t="shared" si="1"/>
        <v>0</v>
      </c>
    </row>
    <row r="61" spans="1:32" s="13" customFormat="1">
      <c r="A61" s="13" t="s">
        <v>291</v>
      </c>
      <c r="C61" s="13" t="s">
        <v>258</v>
      </c>
      <c r="E61" s="49">
        <v>51474</v>
      </c>
      <c r="G61" s="13">
        <f t="shared" si="2"/>
        <v>23941794</v>
      </c>
      <c r="I61" s="13">
        <f>24564+9190000</f>
        <v>9214564</v>
      </c>
      <c r="K61" s="13">
        <v>33156358</v>
      </c>
      <c r="M61" s="13">
        <f t="shared" si="3"/>
        <v>10039915</v>
      </c>
      <c r="O61" s="13">
        <v>822707</v>
      </c>
      <c r="Q61" s="13">
        <f>7913095-822707</f>
        <v>7090388</v>
      </c>
      <c r="S61" s="13">
        <v>17953010</v>
      </c>
      <c r="U61" s="13">
        <f>1800000+24564</f>
        <v>1824564</v>
      </c>
      <c r="W61" s="13">
        <f t="shared" si="4"/>
        <v>4259606</v>
      </c>
      <c r="Y61" s="13">
        <f>8950000+169178</f>
        <v>9119178</v>
      </c>
      <c r="AA61" s="13">
        <v>15203348</v>
      </c>
      <c r="AC61" s="13">
        <f t="shared" si="0"/>
        <v>0</v>
      </c>
      <c r="AE61" s="13">
        <f t="shared" si="1"/>
        <v>0</v>
      </c>
      <c r="AF61" s="13" t="s">
        <v>426</v>
      </c>
    </row>
    <row r="62" spans="1:32" s="13" customFormat="1">
      <c r="A62" s="13" t="s">
        <v>372</v>
      </c>
      <c r="C62" s="13" t="s">
        <v>260</v>
      </c>
      <c r="E62" s="49">
        <v>51698</v>
      </c>
      <c r="G62" s="13">
        <f t="shared" si="2"/>
        <v>6810307</v>
      </c>
      <c r="I62" s="13">
        <v>8153220</v>
      </c>
      <c r="K62" s="13">
        <v>14963527</v>
      </c>
      <c r="M62" s="13">
        <f t="shared" si="3"/>
        <v>2864391</v>
      </c>
      <c r="O62" s="13">
        <f>105709+25819</f>
        <v>131528</v>
      </c>
      <c r="Q62" s="13">
        <f>3140553+104339-105709-25819</f>
        <v>3113364</v>
      </c>
      <c r="S62" s="13">
        <v>6109283</v>
      </c>
      <c r="U62" s="13">
        <v>6041607</v>
      </c>
      <c r="W62" s="13">
        <f t="shared" si="4"/>
        <v>145174</v>
      </c>
      <c r="Y62" s="13">
        <v>2667463</v>
      </c>
      <c r="AA62" s="13">
        <v>8854244</v>
      </c>
      <c r="AC62" s="13">
        <f>+K62-S62-AA62</f>
        <v>0</v>
      </c>
      <c r="AE62" s="13">
        <f t="shared" si="1"/>
        <v>0</v>
      </c>
    </row>
    <row r="63" spans="1:32" s="13" customFormat="1">
      <c r="A63" s="13" t="s">
        <v>345</v>
      </c>
      <c r="C63" s="13" t="s">
        <v>262</v>
      </c>
      <c r="E63" s="49">
        <v>51714</v>
      </c>
      <c r="G63" s="13">
        <f t="shared" si="2"/>
        <v>41531785</v>
      </c>
      <c r="I63" s="13">
        <v>5657013</v>
      </c>
      <c r="K63" s="13">
        <v>47188798</v>
      </c>
      <c r="M63" s="13">
        <f t="shared" si="3"/>
        <v>6189658</v>
      </c>
      <c r="O63" s="13">
        <v>953970</v>
      </c>
      <c r="Q63" s="13">
        <f>10009816-953970</f>
        <v>9055846</v>
      </c>
      <c r="S63" s="13">
        <v>16199474</v>
      </c>
      <c r="U63" s="13">
        <v>5206705</v>
      </c>
      <c r="W63" s="13">
        <f t="shared" si="4"/>
        <v>21800583</v>
      </c>
      <c r="Y63" s="13">
        <v>3982036</v>
      </c>
      <c r="AA63" s="13">
        <v>30989324</v>
      </c>
      <c r="AC63" s="13">
        <f t="shared" si="0"/>
        <v>0</v>
      </c>
      <c r="AE63" s="13">
        <f t="shared" si="1"/>
        <v>0</v>
      </c>
    </row>
    <row r="64" spans="1:32">
      <c r="A64" s="13"/>
      <c r="G64" s="13"/>
      <c r="M64" s="13"/>
      <c r="AC64" s="13"/>
      <c r="AE64" s="13"/>
    </row>
    <row r="65" spans="1:32">
      <c r="G65" s="13"/>
      <c r="M65" s="13"/>
      <c r="AA65" s="107" t="s">
        <v>348</v>
      </c>
      <c r="AC65" s="13"/>
      <c r="AE65" s="13"/>
    </row>
    <row r="66" spans="1:32">
      <c r="A66" s="52" t="s">
        <v>347</v>
      </c>
      <c r="G66" s="13"/>
      <c r="M66" s="13"/>
      <c r="AC66" s="13"/>
      <c r="AE66" s="13"/>
    </row>
    <row r="67" spans="1:32" s="13" customFormat="1" hidden="1">
      <c r="A67" s="13" t="s">
        <v>415</v>
      </c>
      <c r="C67" s="13" t="s">
        <v>365</v>
      </c>
      <c r="E67" s="49">
        <v>45849</v>
      </c>
      <c r="G67" s="81">
        <f t="shared" si="2"/>
        <v>670565</v>
      </c>
      <c r="H67" s="81"/>
      <c r="I67" s="81"/>
      <c r="J67" s="81"/>
      <c r="K67" s="81">
        <v>670565</v>
      </c>
      <c r="L67" s="81"/>
      <c r="M67" s="81">
        <f t="shared" si="3"/>
        <v>0</v>
      </c>
      <c r="N67" s="81"/>
      <c r="O67" s="81"/>
      <c r="P67" s="81"/>
      <c r="Q67" s="81"/>
      <c r="R67" s="81"/>
      <c r="S67" s="81"/>
      <c r="T67" s="81"/>
      <c r="U67" s="81"/>
      <c r="V67" s="81"/>
      <c r="W67" s="81">
        <f t="shared" si="4"/>
        <v>180051</v>
      </c>
      <c r="X67" s="81"/>
      <c r="Y67" s="81">
        <v>490514</v>
      </c>
      <c r="Z67" s="81"/>
      <c r="AA67" s="81">
        <v>670565</v>
      </c>
      <c r="AC67" s="13">
        <f>+K67-S67-AA67</f>
        <v>0</v>
      </c>
      <c r="AE67" s="13">
        <f t="shared" ref="AE67:AE114" si="7">+G67+I67-M67-O67-U67-W67-Y67-Q67</f>
        <v>0</v>
      </c>
      <c r="AF67" s="60" t="s">
        <v>400</v>
      </c>
    </row>
    <row r="68" spans="1:32" s="13" customFormat="1" hidden="1">
      <c r="A68" s="13" t="s">
        <v>416</v>
      </c>
      <c r="C68" s="13" t="s">
        <v>156</v>
      </c>
      <c r="E68" s="49"/>
      <c r="G68" s="81">
        <f t="shared" si="2"/>
        <v>2807036</v>
      </c>
      <c r="H68" s="81"/>
      <c r="I68" s="81"/>
      <c r="J68" s="81"/>
      <c r="K68" s="81">
        <v>2807036</v>
      </c>
      <c r="L68" s="81"/>
      <c r="M68" s="81">
        <f>+S68-O68-Q68</f>
        <v>0</v>
      </c>
      <c r="N68" s="81"/>
      <c r="O68" s="81"/>
      <c r="P68" s="81"/>
      <c r="Q68" s="81"/>
      <c r="R68" s="81"/>
      <c r="S68" s="81"/>
      <c r="T68" s="81"/>
      <c r="U68" s="81"/>
      <c r="V68" s="81"/>
      <c r="W68" s="81">
        <v>62305</v>
      </c>
      <c r="X68" s="81"/>
      <c r="Y68" s="81">
        <v>2744731</v>
      </c>
      <c r="Z68" s="81"/>
      <c r="AA68" s="81">
        <v>2807036</v>
      </c>
      <c r="AC68" s="13">
        <f>+K68-S68-AA68</f>
        <v>0</v>
      </c>
      <c r="AE68" s="13">
        <f>+G68+I68-M68-O68-U68-W68-Y68-Q68</f>
        <v>0</v>
      </c>
      <c r="AF68" s="60" t="s">
        <v>400</v>
      </c>
    </row>
    <row r="69" spans="1:32" s="13" customFormat="1">
      <c r="A69" s="13" t="s">
        <v>161</v>
      </c>
      <c r="C69" s="13" t="s">
        <v>157</v>
      </c>
      <c r="E69" s="49">
        <v>135145</v>
      </c>
      <c r="G69" s="81">
        <f t="shared" si="2"/>
        <v>1359062</v>
      </c>
      <c r="H69" s="81"/>
      <c r="I69" s="81">
        <v>2747343</v>
      </c>
      <c r="J69" s="81"/>
      <c r="K69" s="81">
        <v>4106405</v>
      </c>
      <c r="L69" s="81"/>
      <c r="M69" s="81">
        <f t="shared" si="3"/>
        <v>904508</v>
      </c>
      <c r="N69" s="81"/>
      <c r="O69" s="81">
        <v>12046</v>
      </c>
      <c r="P69" s="81"/>
      <c r="Q69" s="81">
        <v>124391</v>
      </c>
      <c r="R69" s="81"/>
      <c r="S69" s="81">
        <v>1040945</v>
      </c>
      <c r="T69" s="81"/>
      <c r="U69" s="81">
        <v>2747343</v>
      </c>
      <c r="V69" s="81"/>
      <c r="W69" s="81">
        <f t="shared" si="4"/>
        <v>422933</v>
      </c>
      <c r="X69" s="81"/>
      <c r="Y69" s="81">
        <v>-104816</v>
      </c>
      <c r="Z69" s="81"/>
      <c r="AA69" s="81">
        <v>3065460</v>
      </c>
      <c r="AC69" s="13">
        <f t="shared" ref="AC69:AC127" si="8">+K69-S69-AA69</f>
        <v>0</v>
      </c>
      <c r="AE69" s="13">
        <f t="shared" si="7"/>
        <v>0</v>
      </c>
    </row>
    <row r="70" spans="1:32" s="13" customFormat="1" hidden="1">
      <c r="A70" s="13" t="s">
        <v>417</v>
      </c>
      <c r="C70" s="13" t="s">
        <v>369</v>
      </c>
      <c r="E70" s="49"/>
      <c r="G70" s="13">
        <f>+K70-I70</f>
        <v>2333101</v>
      </c>
      <c r="K70" s="13">
        <v>2333101</v>
      </c>
      <c r="M70" s="13">
        <f>+S70-O70-Q70</f>
        <v>0</v>
      </c>
      <c r="W70" s="13">
        <f t="shared" si="4"/>
        <v>44366</v>
      </c>
      <c r="Y70" s="13">
        <v>2288735</v>
      </c>
      <c r="AA70" s="13">
        <v>2333101</v>
      </c>
      <c r="AC70" s="13">
        <f>+K70-S70-AA70</f>
        <v>0</v>
      </c>
      <c r="AE70" s="13">
        <f>+G70+I70-M70-O70-U70-W70-Y70-Q70</f>
        <v>0</v>
      </c>
      <c r="AF70" s="60" t="s">
        <v>400</v>
      </c>
    </row>
    <row r="71" spans="1:32">
      <c r="A71" s="2" t="s">
        <v>163</v>
      </c>
      <c r="C71" s="2" t="s">
        <v>164</v>
      </c>
      <c r="E71" s="48">
        <v>46029</v>
      </c>
      <c r="G71" s="13">
        <f t="shared" si="2"/>
        <v>2383486</v>
      </c>
      <c r="I71" s="2">
        <v>52012</v>
      </c>
      <c r="K71" s="2">
        <v>2435498</v>
      </c>
      <c r="M71" s="13">
        <f t="shared" si="3"/>
        <v>396712</v>
      </c>
      <c r="O71" s="2">
        <v>68834</v>
      </c>
      <c r="Q71" s="2">
        <v>223841</v>
      </c>
      <c r="S71" s="2">
        <v>689387</v>
      </c>
      <c r="U71" s="2">
        <v>52012</v>
      </c>
      <c r="W71" s="2">
        <f t="shared" si="4"/>
        <v>5520</v>
      </c>
      <c r="Y71" s="2">
        <v>1688579</v>
      </c>
      <c r="AA71" s="2">
        <v>1746111</v>
      </c>
      <c r="AC71" s="13">
        <f t="shared" si="8"/>
        <v>0</v>
      </c>
      <c r="AE71" s="13">
        <f t="shared" si="7"/>
        <v>0</v>
      </c>
    </row>
    <row r="72" spans="1:32">
      <c r="A72" s="2" t="s">
        <v>165</v>
      </c>
      <c r="C72" s="2" t="s">
        <v>159</v>
      </c>
      <c r="E72" s="48">
        <v>46086</v>
      </c>
      <c r="G72" s="13">
        <f t="shared" si="2"/>
        <v>3952730</v>
      </c>
      <c r="I72" s="2">
        <v>192012</v>
      </c>
      <c r="K72" s="2">
        <v>4144742</v>
      </c>
      <c r="M72" s="13">
        <f t="shared" si="3"/>
        <v>936722</v>
      </c>
      <c r="O72" s="2">
        <v>39045</v>
      </c>
      <c r="Q72" s="2">
        <v>247033</v>
      </c>
      <c r="S72" s="2">
        <v>1222800</v>
      </c>
      <c r="U72" s="2">
        <v>192012</v>
      </c>
      <c r="W72" s="2">
        <f t="shared" si="4"/>
        <v>2125701</v>
      </c>
      <c r="Y72" s="2">
        <v>604229</v>
      </c>
      <c r="AA72" s="2">
        <v>2921942</v>
      </c>
      <c r="AC72" s="13">
        <f t="shared" si="8"/>
        <v>0</v>
      </c>
      <c r="AE72" s="13">
        <f t="shared" si="7"/>
        <v>0</v>
      </c>
    </row>
    <row r="73" spans="1:32">
      <c r="A73" s="2" t="s">
        <v>168</v>
      </c>
      <c r="C73" s="2" t="s">
        <v>169</v>
      </c>
      <c r="E73" s="48">
        <v>46227</v>
      </c>
      <c r="G73" s="13">
        <f t="shared" si="2"/>
        <v>2461164</v>
      </c>
      <c r="I73" s="2">
        <v>555491</v>
      </c>
      <c r="K73" s="2">
        <v>3016655</v>
      </c>
      <c r="M73" s="13">
        <f t="shared" si="3"/>
        <v>727709</v>
      </c>
      <c r="O73" s="2">
        <v>107567</v>
      </c>
      <c r="Q73" s="2">
        <v>472075</v>
      </c>
      <c r="S73" s="2">
        <v>1307351</v>
      </c>
      <c r="U73" s="2">
        <v>235772</v>
      </c>
      <c r="W73" s="2">
        <f t="shared" si="4"/>
        <v>793132</v>
      </c>
      <c r="Y73" s="2">
        <v>680400</v>
      </c>
      <c r="AA73" s="2">
        <v>1709304</v>
      </c>
      <c r="AC73" s="13">
        <f t="shared" si="8"/>
        <v>0</v>
      </c>
      <c r="AE73" s="13">
        <f t="shared" si="7"/>
        <v>0</v>
      </c>
    </row>
    <row r="74" spans="1:32">
      <c r="A74" s="2" t="s">
        <v>170</v>
      </c>
      <c r="C74" s="2" t="s">
        <v>171</v>
      </c>
      <c r="E74" s="48">
        <v>46292</v>
      </c>
      <c r="G74" s="13">
        <f t="shared" si="2"/>
        <v>6404381</v>
      </c>
      <c r="I74" s="2">
        <v>164862</v>
      </c>
      <c r="K74" s="2">
        <v>6569243</v>
      </c>
      <c r="M74" s="13">
        <f t="shared" si="3"/>
        <v>2414114</v>
      </c>
      <c r="O74" s="2">
        <v>30420</v>
      </c>
      <c r="Q74" s="2">
        <v>420273</v>
      </c>
      <c r="S74" s="2">
        <v>2864807</v>
      </c>
      <c r="U74" s="2">
        <v>164862</v>
      </c>
      <c r="W74" s="2">
        <f t="shared" si="4"/>
        <v>26728</v>
      </c>
      <c r="Y74" s="2">
        <v>3512846</v>
      </c>
      <c r="AA74" s="2">
        <v>3704436</v>
      </c>
      <c r="AC74" s="13">
        <f>+K74-S74-AA74</f>
        <v>0</v>
      </c>
      <c r="AE74" s="13">
        <f>+G74+I74-M74-O74-U74-W74-Y74-Q74</f>
        <v>0</v>
      </c>
    </row>
    <row r="75" spans="1:32" s="13" customFormat="1" hidden="1">
      <c r="A75" s="60" t="s">
        <v>429</v>
      </c>
      <c r="C75" s="13" t="s">
        <v>173</v>
      </c>
      <c r="E75" s="49">
        <v>46375</v>
      </c>
      <c r="G75" s="13">
        <f t="shared" si="2"/>
        <v>0</v>
      </c>
      <c r="M75" s="13">
        <f t="shared" si="3"/>
        <v>0</v>
      </c>
      <c r="W75" s="13">
        <f t="shared" si="4"/>
        <v>0</v>
      </c>
      <c r="AC75" s="13">
        <f t="shared" si="8"/>
        <v>0</v>
      </c>
      <c r="AE75" s="13">
        <f t="shared" si="7"/>
        <v>0</v>
      </c>
      <c r="AF75" s="80" t="s">
        <v>406</v>
      </c>
    </row>
    <row r="76" spans="1:32">
      <c r="A76" s="2" t="s">
        <v>174</v>
      </c>
      <c r="C76" s="2" t="s">
        <v>175</v>
      </c>
      <c r="E76" s="48">
        <v>46417</v>
      </c>
      <c r="G76" s="13">
        <f t="shared" si="2"/>
        <v>1853700</v>
      </c>
      <c r="I76" s="2">
        <v>692454</v>
      </c>
      <c r="K76" s="2">
        <v>2546154</v>
      </c>
      <c r="M76" s="13">
        <f t="shared" si="3"/>
        <v>1135752</v>
      </c>
      <c r="O76" s="2">
        <v>145198</v>
      </c>
      <c r="Q76" s="2">
        <v>952455</v>
      </c>
      <c r="S76" s="2">
        <v>2233405</v>
      </c>
      <c r="U76" s="2">
        <v>247540</v>
      </c>
      <c r="W76" s="2">
        <f t="shared" si="4"/>
        <v>3714</v>
      </c>
      <c r="Y76" s="2">
        <v>61495</v>
      </c>
      <c r="AA76" s="2">
        <v>312749</v>
      </c>
      <c r="AC76" s="13">
        <f t="shared" si="8"/>
        <v>0</v>
      </c>
      <c r="AE76" s="13">
        <f t="shared" si="7"/>
        <v>0</v>
      </c>
    </row>
    <row r="77" spans="1:32" s="13" customFormat="1">
      <c r="A77" s="13" t="s">
        <v>176</v>
      </c>
      <c r="C77" s="13" t="s">
        <v>177</v>
      </c>
      <c r="E77" s="49">
        <v>46532</v>
      </c>
      <c r="G77" s="13">
        <f t="shared" si="2"/>
        <v>33266497</v>
      </c>
      <c r="I77" s="13">
        <v>6658452</v>
      </c>
      <c r="K77" s="13">
        <v>39924949</v>
      </c>
      <c r="M77" s="13">
        <f t="shared" si="3"/>
        <v>4982561</v>
      </c>
      <c r="O77" s="13">
        <v>1487374</v>
      </c>
      <c r="Q77" s="13">
        <v>3613473</v>
      </c>
      <c r="S77" s="13">
        <v>10083408</v>
      </c>
      <c r="U77" s="13">
        <v>4853452</v>
      </c>
      <c r="W77" s="13">
        <f t="shared" si="4"/>
        <v>790292</v>
      </c>
      <c r="Y77" s="13">
        <v>24197797</v>
      </c>
      <c r="AA77" s="13">
        <v>29841541</v>
      </c>
      <c r="AC77" s="13">
        <f t="shared" si="8"/>
        <v>0</v>
      </c>
      <c r="AE77" s="13">
        <f t="shared" si="7"/>
        <v>0</v>
      </c>
    </row>
    <row r="78" spans="1:32" s="13" customFormat="1" hidden="1">
      <c r="A78" s="13" t="s">
        <v>395</v>
      </c>
      <c r="C78" s="13" t="s">
        <v>179</v>
      </c>
      <c r="E78" s="49">
        <v>46615</v>
      </c>
      <c r="G78" s="13">
        <f t="shared" si="2"/>
        <v>1280912</v>
      </c>
      <c r="K78" s="13">
        <v>1280912</v>
      </c>
      <c r="M78" s="13">
        <f t="shared" si="3"/>
        <v>0</v>
      </c>
      <c r="W78" s="13">
        <f t="shared" si="4"/>
        <v>1280912</v>
      </c>
      <c r="AA78" s="13">
        <v>1280912</v>
      </c>
      <c r="AC78" s="13">
        <f t="shared" si="8"/>
        <v>0</v>
      </c>
      <c r="AE78" s="13">
        <f t="shared" si="7"/>
        <v>0</v>
      </c>
      <c r="AF78" s="60" t="s">
        <v>373</v>
      </c>
    </row>
    <row r="79" spans="1:32" s="13" customFormat="1" hidden="1">
      <c r="A79" s="13" t="s">
        <v>180</v>
      </c>
      <c r="C79" s="13" t="s">
        <v>181</v>
      </c>
      <c r="E79" s="49">
        <v>46730</v>
      </c>
      <c r="G79" s="13">
        <f t="shared" si="2"/>
        <v>0</v>
      </c>
      <c r="M79" s="13">
        <f t="shared" si="3"/>
        <v>0</v>
      </c>
      <c r="W79" s="13">
        <f t="shared" si="4"/>
        <v>0</v>
      </c>
      <c r="AC79" s="13">
        <f t="shared" si="8"/>
        <v>0</v>
      </c>
      <c r="AE79" s="13">
        <f t="shared" si="7"/>
        <v>0</v>
      </c>
      <c r="AF79" s="80" t="s">
        <v>410</v>
      </c>
    </row>
    <row r="80" spans="1:32" s="13" customFormat="1" hidden="1">
      <c r="A80" s="60" t="s">
        <v>412</v>
      </c>
      <c r="C80" s="13" t="s">
        <v>183</v>
      </c>
      <c r="E80" s="49">
        <v>125690</v>
      </c>
      <c r="G80" s="13">
        <f t="shared" si="2"/>
        <v>0</v>
      </c>
      <c r="M80" s="13">
        <f t="shared" si="3"/>
        <v>0</v>
      </c>
      <c r="W80" s="13">
        <f t="shared" si="4"/>
        <v>0</v>
      </c>
      <c r="AC80" s="13">
        <f t="shared" si="8"/>
        <v>0</v>
      </c>
      <c r="AE80" s="13">
        <f t="shared" si="7"/>
        <v>0</v>
      </c>
      <c r="AF80" s="80" t="s">
        <v>414</v>
      </c>
    </row>
    <row r="81" spans="1:35" s="13" customFormat="1">
      <c r="A81" s="13" t="s">
        <v>184</v>
      </c>
      <c r="C81" s="13" t="s">
        <v>185</v>
      </c>
      <c r="E81" s="49">
        <v>46839</v>
      </c>
      <c r="G81" s="13">
        <f t="shared" si="2"/>
        <v>68549</v>
      </c>
      <c r="I81" s="13">
        <v>2127148</v>
      </c>
      <c r="K81" s="13">
        <v>2195697</v>
      </c>
      <c r="M81" s="13">
        <f t="shared" si="3"/>
        <v>944895</v>
      </c>
      <c r="O81" s="13">
        <v>93470</v>
      </c>
      <c r="Q81" s="13">
        <v>417386</v>
      </c>
      <c r="S81" s="13">
        <v>1455751</v>
      </c>
      <c r="U81" s="13">
        <v>39017</v>
      </c>
      <c r="W81" s="13">
        <f t="shared" si="4"/>
        <v>9857</v>
      </c>
      <c r="Y81" s="13">
        <v>691072</v>
      </c>
      <c r="AA81" s="13">
        <v>739946</v>
      </c>
      <c r="AC81" s="13">
        <f>+K81-S81-AA81</f>
        <v>0</v>
      </c>
      <c r="AE81" s="13">
        <f t="shared" si="7"/>
        <v>0</v>
      </c>
      <c r="AF81" s="19"/>
    </row>
    <row r="82" spans="1:35">
      <c r="A82" s="2" t="s">
        <v>433</v>
      </c>
      <c r="C82" s="2" t="s">
        <v>186</v>
      </c>
      <c r="E82" s="48">
        <v>46938</v>
      </c>
      <c r="G82" s="13">
        <f t="shared" si="2"/>
        <v>24474178</v>
      </c>
      <c r="I82" s="2">
        <v>5836529</v>
      </c>
      <c r="K82" s="2">
        <v>30310707</v>
      </c>
      <c r="M82" s="13">
        <f t="shared" si="3"/>
        <v>4943727</v>
      </c>
      <c r="O82" s="2">
        <v>914324</v>
      </c>
      <c r="Q82" s="2">
        <v>5214005</v>
      </c>
      <c r="S82" s="2">
        <v>11072056</v>
      </c>
      <c r="U82" s="2">
        <v>2523663</v>
      </c>
      <c r="W82" s="2">
        <f t="shared" si="4"/>
        <v>2588889</v>
      </c>
      <c r="Y82" s="2">
        <v>14126099</v>
      </c>
      <c r="AA82" s="2">
        <v>19238651</v>
      </c>
      <c r="AC82" s="13">
        <f t="shared" si="8"/>
        <v>0</v>
      </c>
      <c r="AE82" s="13">
        <f t="shared" si="7"/>
        <v>0</v>
      </c>
      <c r="AF82" s="60" t="s">
        <v>409</v>
      </c>
    </row>
    <row r="83" spans="1:35">
      <c r="A83" s="2" t="s">
        <v>188</v>
      </c>
      <c r="C83" s="2" t="s">
        <v>189</v>
      </c>
      <c r="E83" s="48">
        <v>125682</v>
      </c>
      <c r="G83" s="13">
        <f t="shared" si="2"/>
        <v>936427</v>
      </c>
      <c r="I83" s="2">
        <v>11404</v>
      </c>
      <c r="K83" s="2">
        <v>947831</v>
      </c>
      <c r="M83" s="13">
        <f t="shared" si="3"/>
        <v>52989</v>
      </c>
      <c r="O83" s="2">
        <v>1015</v>
      </c>
      <c r="Q83" s="2">
        <v>48507</v>
      </c>
      <c r="S83" s="2">
        <v>102511</v>
      </c>
      <c r="U83" s="2">
        <v>11404</v>
      </c>
      <c r="W83" s="2">
        <f t="shared" si="4"/>
        <v>1845</v>
      </c>
      <c r="Y83" s="2">
        <v>832071</v>
      </c>
      <c r="AA83" s="2">
        <v>845320</v>
      </c>
      <c r="AB83" s="13"/>
      <c r="AC83" s="13">
        <f t="shared" si="8"/>
        <v>0</v>
      </c>
      <c r="AD83" s="13"/>
      <c r="AE83" s="13">
        <f t="shared" si="7"/>
        <v>0</v>
      </c>
      <c r="AF83" s="13"/>
      <c r="AG83" s="13"/>
    </row>
    <row r="84" spans="1:35" hidden="1">
      <c r="A84" s="106" t="s">
        <v>430</v>
      </c>
      <c r="C84" s="2" t="s">
        <v>191</v>
      </c>
      <c r="E84" s="48">
        <v>47159</v>
      </c>
      <c r="G84" s="13">
        <f t="shared" si="2"/>
        <v>0</v>
      </c>
      <c r="M84" s="13">
        <f t="shared" si="3"/>
        <v>0</v>
      </c>
      <c r="W84" s="2">
        <f t="shared" si="4"/>
        <v>0</v>
      </c>
      <c r="AC84" s="13">
        <f t="shared" si="8"/>
        <v>0</v>
      </c>
      <c r="AE84" s="13">
        <f t="shared" si="7"/>
        <v>0</v>
      </c>
      <c r="AF84" s="72" t="s">
        <v>394</v>
      </c>
    </row>
    <row r="85" spans="1:35">
      <c r="A85" s="2" t="s">
        <v>192</v>
      </c>
      <c r="C85" s="2" t="s">
        <v>193</v>
      </c>
      <c r="E85" s="48">
        <v>47233</v>
      </c>
      <c r="G85" s="13">
        <f t="shared" ref="G85:G127" si="9">+K85-I85</f>
        <v>3550898</v>
      </c>
      <c r="I85" s="2">
        <v>667198</v>
      </c>
      <c r="K85" s="2">
        <v>4218096</v>
      </c>
      <c r="M85" s="13">
        <f t="shared" ref="M85:M127" si="10">+S85-O85-Q85</f>
        <v>1606412</v>
      </c>
      <c r="O85" s="2">
        <v>153213</v>
      </c>
      <c r="Q85" s="2">
        <v>926024</v>
      </c>
      <c r="S85" s="2">
        <v>2685649</v>
      </c>
      <c r="U85" s="2">
        <v>485535</v>
      </c>
      <c r="W85" s="2">
        <f t="shared" ref="W85:W127" si="11">AA85-Y85-U85</f>
        <v>158394</v>
      </c>
      <c r="Y85" s="2">
        <v>888518</v>
      </c>
      <c r="AA85" s="2">
        <v>1532447</v>
      </c>
      <c r="AC85" s="13">
        <f t="shared" si="8"/>
        <v>0</v>
      </c>
      <c r="AE85" s="13">
        <f t="shared" si="7"/>
        <v>0</v>
      </c>
    </row>
    <row r="86" spans="1:35">
      <c r="A86" s="2" t="s">
        <v>194</v>
      </c>
      <c r="C86" s="2" t="s">
        <v>195</v>
      </c>
      <c r="E86" s="48">
        <v>47324</v>
      </c>
      <c r="G86" s="13">
        <f t="shared" si="9"/>
        <v>15286160</v>
      </c>
      <c r="I86" s="2">
        <v>3173417</v>
      </c>
      <c r="K86" s="2">
        <v>18459577</v>
      </c>
      <c r="M86" s="13">
        <f t="shared" si="10"/>
        <v>5454046</v>
      </c>
      <c r="O86" s="2">
        <v>86202</v>
      </c>
      <c r="Q86" s="2">
        <v>5369497</v>
      </c>
      <c r="S86" s="2">
        <v>10909745</v>
      </c>
      <c r="U86" s="2">
        <v>908417</v>
      </c>
      <c r="W86" s="2">
        <f t="shared" si="11"/>
        <v>2656300</v>
      </c>
      <c r="Y86" s="2">
        <v>3985115</v>
      </c>
      <c r="AA86" s="2">
        <v>7549832</v>
      </c>
      <c r="AC86" s="13">
        <f t="shared" si="8"/>
        <v>0</v>
      </c>
      <c r="AE86" s="13">
        <f t="shared" si="7"/>
        <v>0</v>
      </c>
    </row>
    <row r="87" spans="1:35">
      <c r="A87" s="2" t="s">
        <v>196</v>
      </c>
      <c r="C87" s="2" t="s">
        <v>197</v>
      </c>
      <c r="E87" s="48">
        <v>47407</v>
      </c>
      <c r="G87" s="13">
        <f t="shared" si="9"/>
        <v>1184398</v>
      </c>
      <c r="I87" s="2">
        <v>143593</v>
      </c>
      <c r="K87" s="2">
        <v>1327991</v>
      </c>
      <c r="M87" s="13">
        <f t="shared" si="10"/>
        <v>490685</v>
      </c>
      <c r="O87" s="2">
        <v>129594</v>
      </c>
      <c r="Q87" s="2">
        <v>242214</v>
      </c>
      <c r="S87" s="2">
        <v>862493</v>
      </c>
      <c r="U87" s="2">
        <v>143593</v>
      </c>
      <c r="W87" s="2">
        <f t="shared" si="11"/>
        <v>25633</v>
      </c>
      <c r="Y87" s="2">
        <v>296272</v>
      </c>
      <c r="AA87" s="2">
        <v>465498</v>
      </c>
      <c r="AC87" s="13">
        <f t="shared" si="8"/>
        <v>0</v>
      </c>
      <c r="AE87" s="13">
        <f t="shared" si="7"/>
        <v>0</v>
      </c>
    </row>
    <row r="88" spans="1:35">
      <c r="A88" s="2" t="s">
        <v>198</v>
      </c>
      <c r="C88" s="2" t="s">
        <v>23</v>
      </c>
      <c r="E88" s="48">
        <v>47480</v>
      </c>
      <c r="G88" s="13">
        <f t="shared" si="9"/>
        <v>1661570</v>
      </c>
      <c r="I88" s="2">
        <v>21513</v>
      </c>
      <c r="K88" s="2">
        <v>1683083</v>
      </c>
      <c r="M88" s="13">
        <f t="shared" si="10"/>
        <v>215531</v>
      </c>
      <c r="O88" s="2">
        <v>30987</v>
      </c>
      <c r="Q88" s="2">
        <v>57510</v>
      </c>
      <c r="S88" s="2">
        <v>304028</v>
      </c>
      <c r="U88" s="2">
        <v>21513</v>
      </c>
      <c r="W88" s="2">
        <f t="shared" si="11"/>
        <v>0</v>
      </c>
      <c r="Y88" s="2">
        <v>1357542</v>
      </c>
      <c r="AA88" s="2">
        <v>1379055</v>
      </c>
      <c r="AC88" s="13">
        <f t="shared" si="8"/>
        <v>0</v>
      </c>
      <c r="AE88" s="13">
        <f t="shared" si="7"/>
        <v>0</v>
      </c>
    </row>
    <row r="89" spans="1:35">
      <c r="A89" s="2" t="s">
        <v>199</v>
      </c>
      <c r="C89" s="2" t="s">
        <v>200</v>
      </c>
      <c r="E89" s="48">
        <v>47779</v>
      </c>
      <c r="G89" s="13">
        <f t="shared" si="9"/>
        <v>4212708</v>
      </c>
      <c r="I89" s="2">
        <v>293203</v>
      </c>
      <c r="K89" s="2">
        <v>4505911</v>
      </c>
      <c r="M89" s="13">
        <f t="shared" si="10"/>
        <v>378618</v>
      </c>
      <c r="O89" s="2">
        <v>78825</v>
      </c>
      <c r="Q89" s="2">
        <v>204599</v>
      </c>
      <c r="S89" s="2">
        <v>662042</v>
      </c>
      <c r="U89" s="2">
        <v>292483</v>
      </c>
      <c r="W89" s="2">
        <f t="shared" si="11"/>
        <v>50529</v>
      </c>
      <c r="Y89" s="2">
        <v>3500857</v>
      </c>
      <c r="AA89" s="2">
        <v>3843869</v>
      </c>
      <c r="AC89" s="13">
        <f t="shared" si="8"/>
        <v>0</v>
      </c>
      <c r="AE89" s="13">
        <f t="shared" si="7"/>
        <v>0</v>
      </c>
    </row>
    <row r="90" spans="1:35">
      <c r="A90" s="2" t="s">
        <v>201</v>
      </c>
      <c r="C90" s="2" t="s">
        <v>202</v>
      </c>
      <c r="E90" s="48">
        <v>47811</v>
      </c>
      <c r="G90" s="13">
        <f t="shared" si="9"/>
        <v>1174194</v>
      </c>
      <c r="I90" s="2">
        <v>188132</v>
      </c>
      <c r="K90" s="2">
        <v>1362326</v>
      </c>
      <c r="M90" s="13">
        <f t="shared" si="10"/>
        <v>584938</v>
      </c>
      <c r="O90" s="2">
        <v>20954</v>
      </c>
      <c r="Q90" s="2">
        <v>104768</v>
      </c>
      <c r="S90" s="2">
        <v>710660</v>
      </c>
      <c r="U90" s="2">
        <v>188132</v>
      </c>
      <c r="W90" s="2">
        <f t="shared" si="11"/>
        <v>61902</v>
      </c>
      <c r="Y90" s="2">
        <v>401632</v>
      </c>
      <c r="AA90" s="2">
        <v>651666</v>
      </c>
      <c r="AC90" s="13">
        <f t="shared" si="8"/>
        <v>0</v>
      </c>
      <c r="AE90" s="13">
        <f t="shared" si="7"/>
        <v>0</v>
      </c>
    </row>
    <row r="91" spans="1:35" s="13" customFormat="1">
      <c r="A91" s="13" t="s">
        <v>203</v>
      </c>
      <c r="C91" s="13" t="s">
        <v>158</v>
      </c>
      <c r="E91" s="49">
        <v>47860</v>
      </c>
      <c r="G91" s="13">
        <f t="shared" si="9"/>
        <v>1885234</v>
      </c>
      <c r="I91" s="13">
        <v>61286</v>
      </c>
      <c r="K91" s="13">
        <v>1946520</v>
      </c>
      <c r="M91" s="13">
        <f t="shared" si="10"/>
        <v>1073921</v>
      </c>
      <c r="O91" s="13">
        <v>121305</v>
      </c>
      <c r="Q91" s="13">
        <v>176888</v>
      </c>
      <c r="S91" s="13">
        <v>1372114</v>
      </c>
      <c r="U91" s="13">
        <v>61286</v>
      </c>
      <c r="W91" s="13">
        <f t="shared" si="11"/>
        <v>137636</v>
      </c>
      <c r="Y91" s="13">
        <v>375484</v>
      </c>
      <c r="AA91" s="13">
        <v>574406</v>
      </c>
      <c r="AC91" s="13">
        <f>+K91-S91-AA91</f>
        <v>0</v>
      </c>
      <c r="AE91" s="13">
        <f t="shared" si="7"/>
        <v>0</v>
      </c>
      <c r="AF91" s="60"/>
    </row>
    <row r="92" spans="1:35" s="13" customFormat="1">
      <c r="A92" s="13" t="s">
        <v>204</v>
      </c>
      <c r="C92" s="13" t="s">
        <v>205</v>
      </c>
      <c r="E92" s="49">
        <v>47910</v>
      </c>
      <c r="G92" s="13">
        <f t="shared" si="9"/>
        <v>202054</v>
      </c>
      <c r="H92" s="2"/>
      <c r="I92" s="2">
        <v>408130</v>
      </c>
      <c r="J92" s="2"/>
      <c r="K92" s="2">
        <v>610184</v>
      </c>
      <c r="L92" s="2"/>
      <c r="M92" s="13">
        <f t="shared" si="10"/>
        <v>21522</v>
      </c>
      <c r="N92" s="2"/>
      <c r="O92" s="2">
        <v>69763</v>
      </c>
      <c r="P92" s="2"/>
      <c r="Q92" s="2">
        <v>118149</v>
      </c>
      <c r="R92" s="2"/>
      <c r="S92" s="2">
        <v>209434</v>
      </c>
      <c r="T92" s="2"/>
      <c r="U92" s="2">
        <v>408130</v>
      </c>
      <c r="V92" s="2"/>
      <c r="W92" s="2">
        <f t="shared" si="11"/>
        <v>14194</v>
      </c>
      <c r="X92" s="2"/>
      <c r="Y92" s="2">
        <v>-21574</v>
      </c>
      <c r="Z92" s="2"/>
      <c r="AA92" s="2">
        <v>400750</v>
      </c>
      <c r="AC92" s="13">
        <f t="shared" si="8"/>
        <v>0</v>
      </c>
      <c r="AE92" s="13">
        <f t="shared" si="7"/>
        <v>0</v>
      </c>
    </row>
    <row r="93" spans="1:35" s="13" customFormat="1">
      <c r="A93" s="13" t="s">
        <v>206</v>
      </c>
      <c r="C93" s="13" t="s">
        <v>207</v>
      </c>
      <c r="E93" s="49"/>
      <c r="G93" s="13">
        <f>+K93-I93</f>
        <v>3559250</v>
      </c>
      <c r="H93" s="2"/>
      <c r="I93" s="2">
        <v>118206</v>
      </c>
      <c r="J93" s="2"/>
      <c r="K93" s="2">
        <v>3677456</v>
      </c>
      <c r="L93" s="2"/>
      <c r="M93" s="13">
        <f>+S93-O93-Q93</f>
        <v>981526</v>
      </c>
      <c r="N93" s="2"/>
      <c r="O93" s="2">
        <v>129612</v>
      </c>
      <c r="P93" s="2"/>
      <c r="Q93" s="2">
        <v>328327</v>
      </c>
      <c r="R93" s="2"/>
      <c r="S93" s="2">
        <v>1439465</v>
      </c>
      <c r="T93" s="2"/>
      <c r="U93" s="2">
        <v>81218</v>
      </c>
      <c r="V93" s="2"/>
      <c r="W93" s="2">
        <f>AA93-Y93-U93</f>
        <v>93070</v>
      </c>
      <c r="X93" s="2"/>
      <c r="Y93" s="2">
        <v>2063703</v>
      </c>
      <c r="Z93" s="2"/>
      <c r="AA93" s="2">
        <v>2237991</v>
      </c>
      <c r="AB93" s="2"/>
      <c r="AC93" s="13">
        <f>+K93-S93-AA93</f>
        <v>0</v>
      </c>
      <c r="AD93" s="2"/>
      <c r="AE93" s="13">
        <f>+G93+I93-M93-O93-U93-W93-Y93-Q93</f>
        <v>0</v>
      </c>
      <c r="AF93" s="2"/>
      <c r="AG93" s="2"/>
      <c r="AH93" s="2"/>
      <c r="AI93" s="2"/>
    </row>
    <row r="94" spans="1:35">
      <c r="A94" s="2" t="s">
        <v>208</v>
      </c>
      <c r="C94" s="2" t="s">
        <v>209</v>
      </c>
      <c r="E94" s="48">
        <v>48058</v>
      </c>
      <c r="G94" s="13">
        <f t="shared" si="9"/>
        <v>913876</v>
      </c>
      <c r="I94" s="2">
        <v>39662</v>
      </c>
      <c r="K94" s="2">
        <v>953538</v>
      </c>
      <c r="M94" s="13">
        <f t="shared" si="10"/>
        <v>296535</v>
      </c>
      <c r="O94" s="2">
        <v>44431</v>
      </c>
      <c r="Q94" s="2">
        <v>102147</v>
      </c>
      <c r="S94" s="2">
        <v>443113</v>
      </c>
      <c r="U94" s="2">
        <v>39662</v>
      </c>
      <c r="W94" s="2">
        <f t="shared" si="11"/>
        <v>234156</v>
      </c>
      <c r="Y94" s="2">
        <v>236607</v>
      </c>
      <c r="AA94" s="2">
        <v>510425</v>
      </c>
      <c r="AC94" s="13">
        <f t="shared" si="8"/>
        <v>0</v>
      </c>
      <c r="AE94" s="13">
        <f t="shared" si="7"/>
        <v>0</v>
      </c>
    </row>
    <row r="95" spans="1:35">
      <c r="A95" s="2" t="s">
        <v>210</v>
      </c>
      <c r="C95" s="2" t="s">
        <v>154</v>
      </c>
      <c r="E95" s="48">
        <v>48108</v>
      </c>
      <c r="G95" s="13">
        <f t="shared" si="9"/>
        <v>4117110</v>
      </c>
      <c r="I95" s="2">
        <v>1226761</v>
      </c>
      <c r="K95" s="2">
        <v>5343871</v>
      </c>
      <c r="M95" s="13">
        <f t="shared" si="10"/>
        <v>673583</v>
      </c>
      <c r="O95" s="2">
        <v>204473</v>
      </c>
      <c r="Q95" s="2">
        <v>520051</v>
      </c>
      <c r="S95" s="2">
        <v>1398107</v>
      </c>
      <c r="U95" s="2">
        <v>1225087</v>
      </c>
      <c r="W95" s="2">
        <f t="shared" si="11"/>
        <v>80363</v>
      </c>
      <c r="Y95" s="2">
        <v>2640314</v>
      </c>
      <c r="AA95" s="2">
        <v>3945764</v>
      </c>
      <c r="AC95" s="13">
        <f t="shared" si="8"/>
        <v>0</v>
      </c>
      <c r="AE95" s="13">
        <f t="shared" si="7"/>
        <v>0</v>
      </c>
    </row>
    <row r="96" spans="1:35">
      <c r="A96" s="2" t="s">
        <v>211</v>
      </c>
      <c r="C96" s="2" t="s">
        <v>212</v>
      </c>
      <c r="E96" s="48">
        <v>48199</v>
      </c>
      <c r="G96" s="13">
        <f t="shared" si="9"/>
        <v>9173670</v>
      </c>
      <c r="I96" s="2">
        <v>2088447</v>
      </c>
      <c r="K96" s="2">
        <v>11262117</v>
      </c>
      <c r="M96" s="13">
        <f t="shared" si="10"/>
        <v>1372029</v>
      </c>
      <c r="O96" s="2">
        <v>524470</v>
      </c>
      <c r="Q96" s="2">
        <v>1490019</v>
      </c>
      <c r="S96" s="2">
        <v>3386518</v>
      </c>
      <c r="U96" s="2">
        <v>2088447</v>
      </c>
      <c r="W96" s="2">
        <f t="shared" si="11"/>
        <v>3112090</v>
      </c>
      <c r="Y96" s="2">
        <v>2675062</v>
      </c>
      <c r="AA96" s="2">
        <v>7875599</v>
      </c>
      <c r="AC96" s="13">
        <f t="shared" si="8"/>
        <v>0</v>
      </c>
      <c r="AE96" s="13">
        <f t="shared" si="7"/>
        <v>0</v>
      </c>
    </row>
    <row r="97" spans="1:32">
      <c r="A97" s="2" t="s">
        <v>166</v>
      </c>
      <c r="C97" s="2" t="s">
        <v>167</v>
      </c>
      <c r="E97" s="48">
        <v>137364</v>
      </c>
      <c r="G97" s="13">
        <f t="shared" si="9"/>
        <v>1595777</v>
      </c>
      <c r="I97" s="2">
        <v>304054</v>
      </c>
      <c r="K97" s="2">
        <v>1899831</v>
      </c>
      <c r="M97" s="13">
        <f t="shared" si="10"/>
        <v>1222324</v>
      </c>
      <c r="O97" s="2">
        <v>95001</v>
      </c>
      <c r="Q97" s="2">
        <v>665443</v>
      </c>
      <c r="S97" s="2">
        <v>1982768</v>
      </c>
      <c r="U97" s="2">
        <v>143191</v>
      </c>
      <c r="W97" s="2">
        <f t="shared" si="11"/>
        <v>68524</v>
      </c>
      <c r="Y97" s="2">
        <v>-294652</v>
      </c>
      <c r="AA97" s="2">
        <v>-82937</v>
      </c>
      <c r="AC97" s="13">
        <f t="shared" si="8"/>
        <v>0</v>
      </c>
      <c r="AE97" s="13">
        <f t="shared" si="7"/>
        <v>0</v>
      </c>
    </row>
    <row r="98" spans="1:32">
      <c r="A98" s="2" t="s">
        <v>213</v>
      </c>
      <c r="C98" s="2" t="s">
        <v>214</v>
      </c>
      <c r="E98" s="48">
        <v>48280</v>
      </c>
      <c r="G98" s="13">
        <f t="shared" si="9"/>
        <v>8645922</v>
      </c>
      <c r="I98" s="2">
        <v>507748</v>
      </c>
      <c r="K98" s="2">
        <v>9153670</v>
      </c>
      <c r="M98" s="13">
        <f t="shared" si="10"/>
        <v>1897817</v>
      </c>
      <c r="O98" s="2">
        <v>141515</v>
      </c>
      <c r="Q98" s="2">
        <v>489591</v>
      </c>
      <c r="S98" s="2">
        <v>2528923</v>
      </c>
      <c r="U98" s="2">
        <v>507748</v>
      </c>
      <c r="W98" s="2">
        <f t="shared" si="11"/>
        <v>2254166</v>
      </c>
      <c r="Y98" s="2">
        <v>3862833</v>
      </c>
      <c r="AA98" s="2">
        <v>6624747</v>
      </c>
      <c r="AC98" s="13">
        <f t="shared" si="8"/>
        <v>0</v>
      </c>
      <c r="AE98" s="13">
        <f t="shared" si="7"/>
        <v>0</v>
      </c>
    </row>
    <row r="99" spans="1:32">
      <c r="A99" s="2" t="s">
        <v>215</v>
      </c>
      <c r="C99" s="2" t="s">
        <v>216</v>
      </c>
      <c r="E99" s="48">
        <v>48454</v>
      </c>
      <c r="G99" s="13">
        <f t="shared" si="9"/>
        <v>2313661</v>
      </c>
      <c r="I99" s="2">
        <v>86285</v>
      </c>
      <c r="K99" s="2">
        <v>2399946</v>
      </c>
      <c r="M99" s="13">
        <f t="shared" si="10"/>
        <v>149277</v>
      </c>
      <c r="O99" s="2">
        <v>61741</v>
      </c>
      <c r="Q99" s="2">
        <v>160121</v>
      </c>
      <c r="S99" s="2">
        <v>371139</v>
      </c>
      <c r="U99" s="2">
        <v>86285</v>
      </c>
      <c r="W99" s="2">
        <f t="shared" si="11"/>
        <v>160675</v>
      </c>
      <c r="Y99" s="2">
        <v>1781847</v>
      </c>
      <c r="AA99" s="2">
        <v>2028807</v>
      </c>
      <c r="AC99" s="13">
        <f t="shared" si="8"/>
        <v>0</v>
      </c>
      <c r="AE99" s="13">
        <f t="shared" si="7"/>
        <v>0</v>
      </c>
    </row>
    <row r="100" spans="1:32" s="13" customFormat="1" hidden="1">
      <c r="A100" s="13" t="s">
        <v>419</v>
      </c>
      <c r="C100" s="13" t="s">
        <v>218</v>
      </c>
      <c r="E100" s="49">
        <v>48546</v>
      </c>
      <c r="G100" s="13">
        <f t="shared" si="9"/>
        <v>1217210</v>
      </c>
      <c r="H100" s="2"/>
      <c r="I100" s="2"/>
      <c r="J100" s="2"/>
      <c r="K100" s="2">
        <v>1217210</v>
      </c>
      <c r="L100" s="2"/>
      <c r="M100" s="13">
        <f t="shared" si="10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>
        <f t="shared" si="11"/>
        <v>53126</v>
      </c>
      <c r="X100" s="2"/>
      <c r="Y100" s="2">
        <v>1164084</v>
      </c>
      <c r="Z100" s="2"/>
      <c r="AA100" s="2">
        <v>1217210</v>
      </c>
      <c r="AC100" s="13">
        <f>+K100-S100-AA100</f>
        <v>0</v>
      </c>
      <c r="AE100" s="13">
        <f t="shared" si="7"/>
        <v>0</v>
      </c>
      <c r="AF100" s="63" t="s">
        <v>373</v>
      </c>
    </row>
    <row r="101" spans="1:32">
      <c r="A101" s="2" t="s">
        <v>219</v>
      </c>
      <c r="C101" s="2" t="s">
        <v>220</v>
      </c>
      <c r="E101" s="48">
        <v>48603</v>
      </c>
      <c r="G101" s="13">
        <f t="shared" si="9"/>
        <v>2970362</v>
      </c>
      <c r="I101" s="2">
        <v>1342365</v>
      </c>
      <c r="K101" s="2">
        <v>4312727</v>
      </c>
      <c r="M101" s="13">
        <f t="shared" si="10"/>
        <v>1385529</v>
      </c>
      <c r="O101" s="2">
        <v>29246</v>
      </c>
      <c r="Q101" s="2">
        <v>495353</v>
      </c>
      <c r="S101" s="2">
        <v>1910128</v>
      </c>
      <c r="U101" s="2">
        <v>1334002</v>
      </c>
      <c r="W101" s="2">
        <f t="shared" si="11"/>
        <v>11177</v>
      </c>
      <c r="Y101" s="2">
        <v>1057420</v>
      </c>
      <c r="AA101" s="2">
        <v>2402599</v>
      </c>
      <c r="AC101" s="13">
        <f t="shared" si="8"/>
        <v>0</v>
      </c>
      <c r="AE101" s="13">
        <f t="shared" si="7"/>
        <v>0</v>
      </c>
    </row>
    <row r="102" spans="1:32" hidden="1">
      <c r="A102" s="2" t="s">
        <v>418</v>
      </c>
      <c r="C102" s="2" t="s">
        <v>236</v>
      </c>
      <c r="G102" s="13">
        <f>+K102-I102</f>
        <v>5804821</v>
      </c>
      <c r="K102" s="2">
        <v>5804821</v>
      </c>
      <c r="M102" s="13">
        <f>+S102-O102-Q102</f>
        <v>0</v>
      </c>
      <c r="W102" s="2">
        <f>AA102-Y102-U102</f>
        <v>228457</v>
      </c>
      <c r="Y102" s="2">
        <v>5576364</v>
      </c>
      <c r="AA102" s="2">
        <v>5804821</v>
      </c>
      <c r="AC102" s="13">
        <f>+K102-S102-AA102</f>
        <v>0</v>
      </c>
      <c r="AE102" s="13">
        <f>+G102+I102-M102-O102-U102-W102-Y102-Q102</f>
        <v>0</v>
      </c>
      <c r="AF102" s="63" t="s">
        <v>373</v>
      </c>
    </row>
    <row r="103" spans="1:32">
      <c r="A103" s="2" t="s">
        <v>221</v>
      </c>
      <c r="C103" s="2" t="s">
        <v>222</v>
      </c>
      <c r="E103" s="48">
        <v>48660</v>
      </c>
      <c r="G103" s="13">
        <f t="shared" si="9"/>
        <v>18746592</v>
      </c>
      <c r="I103" s="2">
        <v>6402136</v>
      </c>
      <c r="K103" s="2">
        <v>25148728</v>
      </c>
      <c r="M103" s="13">
        <f t="shared" si="10"/>
        <v>3456875</v>
      </c>
      <c r="O103" s="2">
        <v>357400</v>
      </c>
      <c r="Q103" s="2">
        <v>1198302</v>
      </c>
      <c r="S103" s="2">
        <v>5012577</v>
      </c>
      <c r="U103" s="2">
        <v>5718741</v>
      </c>
      <c r="W103" s="2">
        <f t="shared" si="11"/>
        <v>2033021</v>
      </c>
      <c r="Y103" s="2">
        <v>12384389</v>
      </c>
      <c r="AA103" s="2">
        <v>20136151</v>
      </c>
      <c r="AC103" s="13">
        <f t="shared" si="8"/>
        <v>0</v>
      </c>
      <c r="AE103" s="13">
        <f t="shared" si="7"/>
        <v>0</v>
      </c>
    </row>
    <row r="104" spans="1:32">
      <c r="A104" s="2" t="s">
        <v>223</v>
      </c>
      <c r="C104" s="2" t="s">
        <v>224</v>
      </c>
      <c r="E104" s="48">
        <v>125252</v>
      </c>
      <c r="G104" s="13">
        <f t="shared" si="9"/>
        <v>4981353</v>
      </c>
      <c r="I104" s="2">
        <v>215772</v>
      </c>
      <c r="K104" s="2">
        <v>5197125</v>
      </c>
      <c r="M104" s="13">
        <f t="shared" si="10"/>
        <v>1465096</v>
      </c>
      <c r="O104" s="2">
        <v>13675</v>
      </c>
      <c r="Q104" s="2">
        <v>840812</v>
      </c>
      <c r="S104" s="2">
        <v>2319583</v>
      </c>
      <c r="U104" s="2">
        <v>215772</v>
      </c>
      <c r="W104" s="2">
        <f t="shared" si="11"/>
        <v>416111</v>
      </c>
      <c r="Y104" s="2">
        <v>2245659</v>
      </c>
      <c r="AA104" s="2">
        <v>2877542</v>
      </c>
      <c r="AC104" s="13">
        <f t="shared" si="8"/>
        <v>0</v>
      </c>
      <c r="AE104" s="13">
        <f t="shared" si="7"/>
        <v>0</v>
      </c>
    </row>
    <row r="105" spans="1:32">
      <c r="A105" s="2" t="s">
        <v>374</v>
      </c>
      <c r="C105" s="2" t="s">
        <v>244</v>
      </c>
      <c r="E105" s="48">
        <v>123257</v>
      </c>
      <c r="G105" s="13">
        <f t="shared" si="9"/>
        <v>2335346</v>
      </c>
      <c r="I105" s="2">
        <v>220354</v>
      </c>
      <c r="K105" s="2">
        <v>2555700</v>
      </c>
      <c r="M105" s="13">
        <f t="shared" si="10"/>
        <v>1583945</v>
      </c>
      <c r="O105" s="2">
        <v>98742</v>
      </c>
      <c r="Q105" s="2">
        <v>472380</v>
      </c>
      <c r="S105" s="2">
        <v>2155067</v>
      </c>
      <c r="U105" s="2">
        <v>220354</v>
      </c>
      <c r="W105" s="2">
        <f t="shared" si="11"/>
        <v>200382</v>
      </c>
      <c r="Y105" s="2">
        <v>-20103</v>
      </c>
      <c r="AA105" s="2">
        <v>400633</v>
      </c>
      <c r="AC105" s="13">
        <f t="shared" si="8"/>
        <v>0</v>
      </c>
      <c r="AE105" s="13">
        <f t="shared" si="7"/>
        <v>0</v>
      </c>
    </row>
    <row r="106" spans="1:32" s="102" customFormat="1" hidden="1">
      <c r="A106" s="104" t="s">
        <v>413</v>
      </c>
      <c r="B106" s="104"/>
      <c r="C106" s="104" t="s">
        <v>183</v>
      </c>
      <c r="E106" s="103"/>
    </row>
    <row r="107" spans="1:32" s="102" customFormat="1" hidden="1">
      <c r="A107" s="102" t="s">
        <v>187</v>
      </c>
      <c r="C107" s="102" t="s">
        <v>275</v>
      </c>
      <c r="E107" s="103">
        <v>124297</v>
      </c>
      <c r="G107" s="102">
        <f t="shared" si="9"/>
        <v>0</v>
      </c>
      <c r="M107" s="102">
        <f t="shared" si="10"/>
        <v>0</v>
      </c>
      <c r="W107" s="102">
        <f t="shared" si="11"/>
        <v>0</v>
      </c>
      <c r="AC107" s="102">
        <f t="shared" si="8"/>
        <v>0</v>
      </c>
      <c r="AE107" s="102">
        <f t="shared" si="7"/>
        <v>0</v>
      </c>
    </row>
    <row r="108" spans="1:32" s="102" customFormat="1" hidden="1">
      <c r="A108" s="102" t="s">
        <v>353</v>
      </c>
      <c r="C108" s="102" t="s">
        <v>363</v>
      </c>
      <c r="E108" s="103">
        <v>123521</v>
      </c>
      <c r="G108" s="102">
        <f t="shared" si="9"/>
        <v>0</v>
      </c>
      <c r="M108" s="102">
        <f t="shared" si="10"/>
        <v>0</v>
      </c>
      <c r="W108" s="102">
        <f t="shared" si="11"/>
        <v>0</v>
      </c>
      <c r="AC108" s="102">
        <f>+K108-S108-AA108</f>
        <v>0</v>
      </c>
      <c r="AE108" s="102">
        <f t="shared" si="7"/>
        <v>0</v>
      </c>
    </row>
    <row r="109" spans="1:32">
      <c r="A109" s="2" t="s">
        <v>225</v>
      </c>
      <c r="C109" s="2" t="s">
        <v>226</v>
      </c>
      <c r="E109" s="48">
        <v>125674</v>
      </c>
      <c r="G109" s="13">
        <f t="shared" si="9"/>
        <v>958813</v>
      </c>
      <c r="I109" s="2">
        <v>519078</v>
      </c>
      <c r="K109" s="2">
        <v>1477891</v>
      </c>
      <c r="M109" s="13">
        <f t="shared" si="10"/>
        <v>951002</v>
      </c>
      <c r="O109" s="2">
        <v>30516</v>
      </c>
      <c r="Q109" s="2">
        <f>323731-30516</f>
        <v>293215</v>
      </c>
      <c r="S109" s="2">
        <v>1274733</v>
      </c>
      <c r="U109" s="2">
        <v>465288</v>
      </c>
      <c r="W109" s="2">
        <f t="shared" si="11"/>
        <v>184021</v>
      </c>
      <c r="Y109" s="2">
        <v>-446151</v>
      </c>
      <c r="AA109" s="2">
        <v>203158</v>
      </c>
      <c r="AC109" s="13">
        <f t="shared" si="8"/>
        <v>0</v>
      </c>
      <c r="AE109" s="13">
        <f t="shared" si="7"/>
        <v>0</v>
      </c>
      <c r="AF109" s="13"/>
    </row>
    <row r="110" spans="1:32">
      <c r="A110" s="2" t="s">
        <v>227</v>
      </c>
      <c r="C110" s="2" t="s">
        <v>228</v>
      </c>
      <c r="E110" s="48">
        <v>49072</v>
      </c>
      <c r="G110" s="13">
        <f t="shared" si="9"/>
        <v>878124</v>
      </c>
      <c r="I110" s="2">
        <v>671431</v>
      </c>
      <c r="K110" s="2">
        <v>1549555</v>
      </c>
      <c r="M110" s="13">
        <f t="shared" si="10"/>
        <v>296202</v>
      </c>
      <c r="O110" s="2">
        <v>7699</v>
      </c>
      <c r="Q110" s="2">
        <v>147027</v>
      </c>
      <c r="S110" s="2">
        <v>450928</v>
      </c>
      <c r="U110" s="2">
        <v>671431</v>
      </c>
      <c r="W110" s="2">
        <f t="shared" si="11"/>
        <v>395793</v>
      </c>
      <c r="Y110" s="2">
        <v>31403</v>
      </c>
      <c r="AA110" s="2">
        <v>1098627</v>
      </c>
      <c r="AC110" s="13">
        <f t="shared" si="8"/>
        <v>0</v>
      </c>
      <c r="AE110" s="13">
        <f t="shared" si="7"/>
        <v>0</v>
      </c>
    </row>
    <row r="111" spans="1:32">
      <c r="A111" s="2" t="s">
        <v>229</v>
      </c>
      <c r="C111" s="2" t="s">
        <v>230</v>
      </c>
      <c r="E111" s="48">
        <v>49163</v>
      </c>
      <c r="G111" s="13">
        <f t="shared" si="9"/>
        <v>1820305</v>
      </c>
      <c r="I111" s="2">
        <v>117242</v>
      </c>
      <c r="K111" s="2">
        <v>1937547</v>
      </c>
      <c r="M111" s="13">
        <f t="shared" si="10"/>
        <v>982053</v>
      </c>
      <c r="O111" s="2">
        <v>11441</v>
      </c>
      <c r="Q111" s="2">
        <v>98494</v>
      </c>
      <c r="S111" s="2">
        <v>1091988</v>
      </c>
      <c r="U111" s="2">
        <v>96197</v>
      </c>
      <c r="W111" s="2">
        <f t="shared" si="11"/>
        <v>64179</v>
      </c>
      <c r="Y111" s="2">
        <v>685183</v>
      </c>
      <c r="AA111" s="2">
        <v>845559</v>
      </c>
      <c r="AC111" s="13">
        <f t="shared" si="8"/>
        <v>0</v>
      </c>
      <c r="AE111" s="13">
        <f t="shared" si="7"/>
        <v>0</v>
      </c>
    </row>
    <row r="112" spans="1:32" s="13" customFormat="1" hidden="1">
      <c r="A112" s="19" t="s">
        <v>421</v>
      </c>
      <c r="C112" s="13" t="s">
        <v>232</v>
      </c>
      <c r="E112" s="49">
        <v>49254</v>
      </c>
      <c r="G112" s="13">
        <f t="shared" si="9"/>
        <v>262817</v>
      </c>
      <c r="H112" s="2"/>
      <c r="I112" s="2">
        <v>1554063</v>
      </c>
      <c r="J112" s="2"/>
      <c r="K112" s="2">
        <v>1816880</v>
      </c>
      <c r="L112" s="2"/>
      <c r="M112" s="13">
        <f t="shared" si="10"/>
        <v>0</v>
      </c>
      <c r="N112" s="2"/>
      <c r="O112" s="2">
        <v>31000</v>
      </c>
      <c r="P112" s="2"/>
      <c r="Q112" s="2">
        <v>1247000</v>
      </c>
      <c r="R112" s="2"/>
      <c r="S112" s="2">
        <v>1278000</v>
      </c>
      <c r="T112" s="2"/>
      <c r="U112" s="2">
        <v>164822</v>
      </c>
      <c r="V112" s="2"/>
      <c r="W112" s="2">
        <f t="shared" si="11"/>
        <v>42342</v>
      </c>
      <c r="X112" s="2"/>
      <c r="Y112" s="2">
        <v>331716</v>
      </c>
      <c r="Z112" s="2"/>
      <c r="AA112" s="2">
        <v>538880</v>
      </c>
      <c r="AC112" s="13">
        <f t="shared" si="8"/>
        <v>0</v>
      </c>
      <c r="AE112" s="13">
        <f t="shared" si="7"/>
        <v>0</v>
      </c>
      <c r="AF112" s="13" t="s">
        <v>373</v>
      </c>
    </row>
    <row r="113" spans="1:32">
      <c r="A113" s="2" t="s">
        <v>233</v>
      </c>
      <c r="C113" s="2" t="s">
        <v>234</v>
      </c>
      <c r="E113" s="48">
        <v>49304</v>
      </c>
      <c r="G113" s="13">
        <f t="shared" si="9"/>
        <v>2583641</v>
      </c>
      <c r="I113" s="2">
        <v>3982044</v>
      </c>
      <c r="K113" s="2">
        <v>6565685</v>
      </c>
      <c r="M113" s="13">
        <f t="shared" si="10"/>
        <v>386500</v>
      </c>
      <c r="O113" s="2">
        <v>207421</v>
      </c>
      <c r="Q113" s="2">
        <v>1232627</v>
      </c>
      <c r="S113" s="2">
        <v>1826548</v>
      </c>
      <c r="U113" s="2">
        <v>3283855</v>
      </c>
      <c r="W113" s="2">
        <f t="shared" si="11"/>
        <v>1243123</v>
      </c>
      <c r="Y113" s="2">
        <v>212159</v>
      </c>
      <c r="AA113" s="2">
        <v>4739137</v>
      </c>
      <c r="AC113" s="13">
        <f t="shared" si="8"/>
        <v>0</v>
      </c>
      <c r="AE113" s="13">
        <f t="shared" si="7"/>
        <v>0</v>
      </c>
    </row>
    <row r="114" spans="1:32" s="13" customFormat="1">
      <c r="A114" s="13" t="s">
        <v>237</v>
      </c>
      <c r="C114" s="13" t="s">
        <v>238</v>
      </c>
      <c r="E114" s="49">
        <v>138222</v>
      </c>
      <c r="G114" s="13">
        <f t="shared" si="9"/>
        <v>4752122</v>
      </c>
      <c r="H114" s="2"/>
      <c r="I114" s="2">
        <v>179082</v>
      </c>
      <c r="J114" s="2"/>
      <c r="K114" s="2">
        <v>4931204</v>
      </c>
      <c r="L114" s="2"/>
      <c r="M114" s="13">
        <f t="shared" si="10"/>
        <v>1098760</v>
      </c>
      <c r="N114" s="2"/>
      <c r="O114" s="2">
        <v>141688</v>
      </c>
      <c r="P114" s="2"/>
      <c r="Q114" s="2">
        <f>459762-141688</f>
        <v>318074</v>
      </c>
      <c r="R114" s="2"/>
      <c r="S114" s="2">
        <v>1558522</v>
      </c>
      <c r="T114" s="2"/>
      <c r="U114" s="2">
        <v>179082</v>
      </c>
      <c r="V114" s="2"/>
      <c r="W114" s="2">
        <f t="shared" si="11"/>
        <v>223094</v>
      </c>
      <c r="X114" s="2"/>
      <c r="Y114" s="2">
        <v>2970506</v>
      </c>
      <c r="Z114" s="2"/>
      <c r="AA114" s="2">
        <v>3372682</v>
      </c>
      <c r="AC114" s="13">
        <f t="shared" si="8"/>
        <v>0</v>
      </c>
      <c r="AE114" s="13">
        <f t="shared" si="7"/>
        <v>0</v>
      </c>
    </row>
    <row r="115" spans="1:32" s="13" customFormat="1" hidden="1">
      <c r="A115" s="69" t="s">
        <v>239</v>
      </c>
      <c r="C115" s="13" t="s">
        <v>240</v>
      </c>
      <c r="E115" s="49">
        <v>49551</v>
      </c>
      <c r="G115" s="13">
        <f t="shared" si="9"/>
        <v>0</v>
      </c>
      <c r="M115" s="13">
        <f t="shared" si="10"/>
        <v>0</v>
      </c>
      <c r="W115" s="13">
        <f t="shared" si="11"/>
        <v>0</v>
      </c>
      <c r="AC115" s="13">
        <f t="shared" si="8"/>
        <v>0</v>
      </c>
      <c r="AE115" s="13">
        <f>+G115+I115-M115-O115-U115-W115-Y115-Q115</f>
        <v>0</v>
      </c>
      <c r="AF115" s="17" t="s">
        <v>425</v>
      </c>
    </row>
    <row r="116" spans="1:32">
      <c r="A116" s="2" t="s">
        <v>245</v>
      </c>
      <c r="C116" s="2" t="s">
        <v>246</v>
      </c>
      <c r="E116" s="48">
        <v>49742</v>
      </c>
      <c r="G116" s="13">
        <f t="shared" si="9"/>
        <v>1179966</v>
      </c>
      <c r="I116" s="2">
        <v>101253</v>
      </c>
      <c r="K116" s="2">
        <v>1281219</v>
      </c>
      <c r="M116" s="13">
        <f t="shared" si="10"/>
        <v>541769</v>
      </c>
      <c r="O116" s="2">
        <v>42527</v>
      </c>
      <c r="Q116" s="2">
        <f>111215-42527</f>
        <v>68688</v>
      </c>
      <c r="S116" s="2">
        <v>652984</v>
      </c>
      <c r="U116" s="2">
        <v>73265</v>
      </c>
      <c r="W116" s="2">
        <f t="shared" si="11"/>
        <v>240034</v>
      </c>
      <c r="Y116" s="2">
        <v>314936</v>
      </c>
      <c r="AA116" s="2">
        <v>628235</v>
      </c>
      <c r="AC116" s="13">
        <f t="shared" si="8"/>
        <v>0</v>
      </c>
      <c r="AE116" s="13">
        <f t="shared" ref="AE116:AE127" si="12">+G116+I116-M116-O116-U116-W116-Y116-Q116</f>
        <v>0</v>
      </c>
    </row>
    <row r="117" spans="1:32">
      <c r="A117" s="2" t="s">
        <v>371</v>
      </c>
      <c r="C117" s="2" t="s">
        <v>242</v>
      </c>
      <c r="E117" s="48">
        <v>125658</v>
      </c>
      <c r="G117" s="13">
        <f t="shared" si="9"/>
        <v>1607963</v>
      </c>
      <c r="I117" s="2">
        <v>290705</v>
      </c>
      <c r="K117" s="2">
        <v>1898668</v>
      </c>
      <c r="M117" s="13">
        <f t="shared" si="10"/>
        <v>826073</v>
      </c>
      <c r="O117" s="2">
        <v>146508</v>
      </c>
      <c r="Q117" s="2">
        <f>397704-146508</f>
        <v>251196</v>
      </c>
      <c r="S117" s="2">
        <v>1223777</v>
      </c>
      <c r="U117" s="2">
        <v>205605</v>
      </c>
      <c r="W117" s="2">
        <f t="shared" si="11"/>
        <v>300544</v>
      </c>
      <c r="Y117" s="2">
        <v>168742</v>
      </c>
      <c r="AA117" s="2">
        <v>674891</v>
      </c>
      <c r="AC117" s="13">
        <f t="shared" si="8"/>
        <v>0</v>
      </c>
      <c r="AE117" s="13">
        <f t="shared" si="12"/>
        <v>0</v>
      </c>
    </row>
    <row r="118" spans="1:32">
      <c r="A118" s="2" t="s">
        <v>370</v>
      </c>
      <c r="C118" s="2" t="s">
        <v>173</v>
      </c>
      <c r="G118" s="13">
        <f>+K118-I118</f>
        <v>3065140</v>
      </c>
      <c r="I118" s="2">
        <v>427338</v>
      </c>
      <c r="K118" s="2">
        <v>3492478</v>
      </c>
      <c r="M118" s="13">
        <f>+S118-O118-Q118</f>
        <v>222169</v>
      </c>
      <c r="O118" s="2">
        <v>36655</v>
      </c>
      <c r="Q118" s="2">
        <f>306966-36655</f>
        <v>270311</v>
      </c>
      <c r="S118" s="2">
        <v>529135</v>
      </c>
      <c r="U118" s="2">
        <v>427338</v>
      </c>
      <c r="W118" s="2">
        <f>AA118-Y118-U118</f>
        <v>214763</v>
      </c>
      <c r="Y118" s="2">
        <v>2321242</v>
      </c>
      <c r="AA118" s="2">
        <v>2963343</v>
      </c>
      <c r="AC118" s="13">
        <f>+K118-S118-AA118</f>
        <v>0</v>
      </c>
      <c r="AE118" s="13">
        <f>+G118+I118-M118-O118-U118-W118-Y118-Q118</f>
        <v>0</v>
      </c>
      <c r="AF118" s="80" t="s">
        <v>411</v>
      </c>
    </row>
    <row r="119" spans="1:32">
      <c r="A119" s="19" t="s">
        <v>431</v>
      </c>
      <c r="C119" s="2" t="s">
        <v>248</v>
      </c>
      <c r="E119" s="48">
        <v>49825</v>
      </c>
      <c r="G119" s="13">
        <f t="shared" si="9"/>
        <v>4061390</v>
      </c>
      <c r="I119" s="2">
        <v>1587916</v>
      </c>
      <c r="K119" s="2">
        <v>5649306</v>
      </c>
      <c r="M119" s="13">
        <f t="shared" si="10"/>
        <v>2505104</v>
      </c>
      <c r="O119" s="2">
        <v>38753</v>
      </c>
      <c r="Q119" s="2">
        <f>790180-38753</f>
        <v>751427</v>
      </c>
      <c r="S119" s="2">
        <v>3295284</v>
      </c>
      <c r="U119" s="2">
        <v>1587916</v>
      </c>
      <c r="W119" s="2">
        <f t="shared" si="11"/>
        <v>232457</v>
      </c>
      <c r="Y119" s="2">
        <v>533649</v>
      </c>
      <c r="AA119" s="2">
        <v>2354022</v>
      </c>
      <c r="AC119" s="13">
        <f t="shared" si="8"/>
        <v>0</v>
      </c>
      <c r="AE119" s="13">
        <f t="shared" si="12"/>
        <v>0</v>
      </c>
      <c r="AF119" s="100" t="s">
        <v>424</v>
      </c>
    </row>
    <row r="120" spans="1:32">
      <c r="A120" s="2" t="s">
        <v>249</v>
      </c>
      <c r="C120" s="2" t="s">
        <v>250</v>
      </c>
      <c r="E120" s="48">
        <v>49965</v>
      </c>
      <c r="G120" s="13">
        <f t="shared" si="9"/>
        <v>8410702</v>
      </c>
      <c r="I120" s="2">
        <v>2143099</v>
      </c>
      <c r="K120" s="2">
        <v>10553801</v>
      </c>
      <c r="M120" s="13">
        <f t="shared" si="10"/>
        <v>1302170</v>
      </c>
      <c r="O120" s="2">
        <v>99734</v>
      </c>
      <c r="Q120" s="2">
        <f>1357234-99734</f>
        <v>1257500</v>
      </c>
      <c r="S120" s="2">
        <v>2659404</v>
      </c>
      <c r="U120" s="2">
        <v>957966</v>
      </c>
      <c r="W120" s="2">
        <f t="shared" si="11"/>
        <v>424556</v>
      </c>
      <c r="Y120" s="2">
        <v>6511875</v>
      </c>
      <c r="AA120" s="2">
        <v>7894397</v>
      </c>
      <c r="AC120" s="13">
        <f t="shared" si="8"/>
        <v>0</v>
      </c>
      <c r="AE120" s="13">
        <f t="shared" si="12"/>
        <v>0</v>
      </c>
    </row>
    <row r="121" spans="1:32">
      <c r="A121" s="2" t="s">
        <v>261</v>
      </c>
      <c r="C121" s="2" t="s">
        <v>262</v>
      </c>
      <c r="E121" s="48">
        <v>50526</v>
      </c>
      <c r="G121" s="13">
        <f t="shared" si="9"/>
        <v>4884617</v>
      </c>
      <c r="I121" s="2">
        <v>468637</v>
      </c>
      <c r="K121" s="2">
        <v>5353254</v>
      </c>
      <c r="M121" s="13">
        <f t="shared" si="10"/>
        <v>1495201</v>
      </c>
      <c r="O121" s="2">
        <v>273151</v>
      </c>
      <c r="Q121" s="2">
        <f>463540-273151</f>
        <v>190389</v>
      </c>
      <c r="S121" s="2">
        <v>1958741</v>
      </c>
      <c r="U121" s="2">
        <v>468637</v>
      </c>
      <c r="W121" s="2">
        <f t="shared" si="11"/>
        <v>143970</v>
      </c>
      <c r="Y121" s="2">
        <v>2781906</v>
      </c>
      <c r="AA121" s="2">
        <v>3394513</v>
      </c>
      <c r="AC121" s="13">
        <f t="shared" si="8"/>
        <v>0</v>
      </c>
      <c r="AE121" s="13">
        <f t="shared" si="12"/>
        <v>0</v>
      </c>
    </row>
    <row r="122" spans="1:32">
      <c r="A122" s="2" t="s">
        <v>251</v>
      </c>
      <c r="C122" s="2" t="s">
        <v>252</v>
      </c>
      <c r="E122" s="48">
        <v>50088</v>
      </c>
      <c r="G122" s="13">
        <f t="shared" si="9"/>
        <v>7858042</v>
      </c>
      <c r="I122" s="2">
        <v>285742</v>
      </c>
      <c r="K122" s="2">
        <v>8143784</v>
      </c>
      <c r="M122" s="13">
        <f t="shared" si="10"/>
        <v>2308445</v>
      </c>
      <c r="O122" s="2">
        <v>126742</v>
      </c>
      <c r="Q122" s="2">
        <f>763058-126742</f>
        <v>636316</v>
      </c>
      <c r="S122" s="2">
        <v>3071503</v>
      </c>
      <c r="U122" s="2">
        <v>285742</v>
      </c>
      <c r="W122" s="2">
        <f t="shared" si="11"/>
        <v>20816</v>
      </c>
      <c r="Y122" s="2">
        <v>4765723</v>
      </c>
      <c r="AA122" s="2">
        <v>5072281</v>
      </c>
      <c r="AC122" s="13">
        <f t="shared" si="8"/>
        <v>0</v>
      </c>
      <c r="AE122" s="13">
        <f t="shared" si="12"/>
        <v>0</v>
      </c>
    </row>
    <row r="123" spans="1:32">
      <c r="A123" s="2" t="s">
        <v>389</v>
      </c>
      <c r="C123" s="2" t="s">
        <v>254</v>
      </c>
      <c r="E123" s="48">
        <v>50260</v>
      </c>
      <c r="G123" s="13">
        <f t="shared" si="9"/>
        <v>1385986</v>
      </c>
      <c r="I123" s="2">
        <v>1642695</v>
      </c>
      <c r="K123" s="2">
        <v>3028681</v>
      </c>
      <c r="M123" s="13">
        <f t="shared" si="10"/>
        <v>494400</v>
      </c>
      <c r="O123" s="2">
        <v>145464</v>
      </c>
      <c r="Q123" s="2">
        <f>1011361-145464</f>
        <v>865897</v>
      </c>
      <c r="S123" s="2">
        <v>1505761</v>
      </c>
      <c r="U123" s="2">
        <v>957636</v>
      </c>
      <c r="W123" s="2">
        <f t="shared" si="11"/>
        <v>15984</v>
      </c>
      <c r="Y123" s="2">
        <v>549300</v>
      </c>
      <c r="AA123" s="2">
        <v>1522920</v>
      </c>
      <c r="AC123" s="13">
        <f t="shared" si="8"/>
        <v>0</v>
      </c>
      <c r="AE123" s="13">
        <f t="shared" si="12"/>
        <v>0</v>
      </c>
    </row>
    <row r="124" spans="1:32" s="13" customFormat="1" hidden="1">
      <c r="A124" s="13" t="s">
        <v>432</v>
      </c>
      <c r="C124" s="13" t="s">
        <v>258</v>
      </c>
      <c r="E124" s="49">
        <v>50401</v>
      </c>
      <c r="G124" s="13">
        <f t="shared" si="9"/>
        <v>5397261</v>
      </c>
      <c r="K124" s="13">
        <v>5397261</v>
      </c>
      <c r="M124" s="13">
        <f t="shared" si="10"/>
        <v>0</v>
      </c>
      <c r="W124" s="13">
        <f t="shared" si="11"/>
        <v>602319</v>
      </c>
      <c r="Y124" s="13">
        <v>4794942</v>
      </c>
      <c r="AA124" s="13">
        <v>5397261</v>
      </c>
      <c r="AC124" s="13">
        <f t="shared" si="8"/>
        <v>0</v>
      </c>
      <c r="AE124" s="13">
        <f t="shared" si="12"/>
        <v>0</v>
      </c>
      <c r="AF124" s="13" t="s">
        <v>373</v>
      </c>
    </row>
    <row r="125" spans="1:32" s="13" customFormat="1" hidden="1">
      <c r="A125" s="69" t="s">
        <v>259</v>
      </c>
      <c r="C125" s="13" t="s">
        <v>260</v>
      </c>
      <c r="E125" s="49">
        <v>50476</v>
      </c>
      <c r="AC125" s="13">
        <f t="shared" si="8"/>
        <v>0</v>
      </c>
      <c r="AE125" s="13">
        <f t="shared" si="12"/>
        <v>0</v>
      </c>
      <c r="AF125" s="60" t="s">
        <v>428</v>
      </c>
    </row>
    <row r="126" spans="1:32" s="13" customFormat="1">
      <c r="A126" s="13" t="s">
        <v>255</v>
      </c>
      <c r="C126" s="13" t="s">
        <v>358</v>
      </c>
      <c r="E126" s="49">
        <v>134999</v>
      </c>
      <c r="G126" s="13">
        <f t="shared" si="9"/>
        <v>1080195</v>
      </c>
      <c r="I126" s="13">
        <v>201853</v>
      </c>
      <c r="K126" s="13">
        <v>1282048</v>
      </c>
      <c r="M126" s="13">
        <f t="shared" si="10"/>
        <v>530146</v>
      </c>
      <c r="O126" s="13">
        <v>34007</v>
      </c>
      <c r="Q126" s="13">
        <f>216508-34007</f>
        <v>182501</v>
      </c>
      <c r="S126" s="13">
        <v>746654</v>
      </c>
      <c r="U126" s="13">
        <v>201853</v>
      </c>
      <c r="W126" s="13">
        <f t="shared" si="11"/>
        <v>9402</v>
      </c>
      <c r="Y126" s="13">
        <v>324139</v>
      </c>
      <c r="AA126" s="13">
        <v>535394</v>
      </c>
      <c r="AC126" s="13">
        <f t="shared" si="8"/>
        <v>0</v>
      </c>
      <c r="AE126" s="13">
        <f t="shared" si="12"/>
        <v>0</v>
      </c>
    </row>
    <row r="127" spans="1:32" s="13" customFormat="1">
      <c r="A127" s="13" t="s">
        <v>263</v>
      </c>
      <c r="C127" s="13" t="s">
        <v>264</v>
      </c>
      <c r="E127" s="49">
        <v>50666</v>
      </c>
      <c r="G127" s="13">
        <f t="shared" si="9"/>
        <v>6428597</v>
      </c>
      <c r="I127" s="13">
        <v>2063430</v>
      </c>
      <c r="K127" s="13">
        <v>8492027</v>
      </c>
      <c r="M127" s="13">
        <f t="shared" si="10"/>
        <v>2102953</v>
      </c>
      <c r="O127" s="13">
        <v>82574</v>
      </c>
      <c r="Q127" s="13">
        <f>768209-82574</f>
        <v>685635</v>
      </c>
      <c r="S127" s="13">
        <v>2871162</v>
      </c>
      <c r="U127" s="13">
        <v>2063430</v>
      </c>
      <c r="W127" s="13">
        <f t="shared" si="11"/>
        <v>1239174</v>
      </c>
      <c r="Y127" s="13">
        <v>2318261</v>
      </c>
      <c r="AA127" s="13">
        <v>5620865</v>
      </c>
      <c r="AC127" s="13">
        <f t="shared" si="8"/>
        <v>0</v>
      </c>
      <c r="AE127" s="13">
        <f t="shared" si="12"/>
        <v>0</v>
      </c>
    </row>
  </sheetData>
  <mergeCells count="4">
    <mergeCell ref="G8:J8"/>
    <mergeCell ref="M8:O8"/>
    <mergeCell ref="U8:Y8"/>
    <mergeCell ref="A1:I1"/>
  </mergeCells>
  <phoneticPr fontId="3" type="noConversion"/>
  <printOptions horizontalCentered="1"/>
  <pageMargins left="0.7" right="0.7" top="0.5" bottom="0.5" header="0" footer="0.5"/>
  <pageSetup scale="85" firstPageNumber="6" pageOrder="overThenDown" orientation="portrait" useFirstPageNumber="1" horizontalDpi="300" verticalDpi="300" r:id="rId1"/>
  <headerFooter alignWithMargins="0">
    <oddFooter>&amp;C&amp;"Times New Roman,Regular"&amp;12&amp;P</oddFooter>
  </headerFooter>
  <rowBreaks count="1" manualBreakCount="1">
    <brk id="65" max="16383" man="1"/>
  </rowBreaks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41"/>
  <sheetViews>
    <sheetView zoomScaleNormal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K31" sqref="K31"/>
    </sheetView>
  </sheetViews>
  <sheetFormatPr defaultColWidth="9.140625" defaultRowHeight="12"/>
  <cols>
    <col min="1" max="1" width="40.7109375" style="19" customWidth="1"/>
    <col min="2" max="2" width="1.7109375" style="19" customWidth="1"/>
    <col min="3" max="3" width="11.7109375" style="19" customWidth="1"/>
    <col min="4" max="4" width="1.7109375" style="19" hidden="1" customWidth="1"/>
    <col min="5" max="5" width="11.7109375" style="19" hidden="1" customWidth="1"/>
    <col min="6" max="6" width="1.7109375" style="19" customWidth="1"/>
    <col min="7" max="7" width="11.7109375" style="19" customWidth="1"/>
    <col min="8" max="8" width="1.7109375" style="19" customWidth="1"/>
    <col min="9" max="9" width="11.7109375" style="19" customWidth="1"/>
    <col min="10" max="10" width="1.7109375" style="19" customWidth="1"/>
    <col min="11" max="11" width="11.7109375" style="19" customWidth="1"/>
    <col min="12" max="12" width="1.7109375" style="19" customWidth="1"/>
    <col min="13" max="13" width="11.7109375" style="19" customWidth="1"/>
    <col min="14" max="14" width="1.7109375" style="19" customWidth="1"/>
    <col min="15" max="15" width="11.7109375" style="19" customWidth="1"/>
    <col min="16" max="16" width="1.7109375" style="19" customWidth="1"/>
    <col min="17" max="17" width="11.7109375" style="19" customWidth="1"/>
    <col min="18" max="18" width="1.7109375" style="19" customWidth="1"/>
    <col min="19" max="19" width="11.7109375" style="19" customWidth="1"/>
    <col min="20" max="20" width="1.7109375" style="19" customWidth="1"/>
    <col min="21" max="21" width="11.7109375" style="19" customWidth="1"/>
    <col min="22" max="22" width="2.42578125" style="19" customWidth="1"/>
    <col min="23" max="23" width="9.140625" style="19"/>
    <col min="24" max="24" width="11.7109375" style="19" customWidth="1"/>
    <col min="25" max="25" width="1.7109375" style="19" customWidth="1"/>
    <col min="26" max="26" width="11.7109375" style="19" customWidth="1"/>
    <col min="27" max="27" width="1.7109375" style="19" customWidth="1"/>
    <col min="28" max="28" width="11.7109375" style="19" customWidth="1"/>
    <col min="29" max="29" width="1.7109375" style="19" customWidth="1"/>
    <col min="30" max="30" width="11.7109375" style="19" customWidth="1"/>
    <col min="31" max="31" width="1.7109375" style="19" customWidth="1"/>
    <col min="32" max="16384" width="9.140625" style="19"/>
  </cols>
  <sheetData>
    <row r="1" spans="1:36" s="3" customFormat="1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36" s="3" customFormat="1">
      <c r="A2" s="34" t="s">
        <v>390</v>
      </c>
      <c r="B2" s="34"/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6" s="3" customFormat="1">
      <c r="A3" s="28" t="s">
        <v>348</v>
      </c>
      <c r="B3" s="28"/>
      <c r="C3" s="28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6" s="2" customFormat="1">
      <c r="A4" s="18" t="s">
        <v>349</v>
      </c>
    </row>
    <row r="5" spans="1:36" s="17" customFormat="1">
      <c r="A5" s="34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X5" s="45" t="s">
        <v>1</v>
      </c>
    </row>
    <row r="6" spans="1:36" s="7" customForma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X6" s="7" t="s">
        <v>139</v>
      </c>
    </row>
    <row r="7" spans="1:36" s="7" customFormat="1">
      <c r="A7" s="83"/>
      <c r="B7" s="8"/>
      <c r="C7" s="8"/>
      <c r="D7" s="8"/>
      <c r="E7" s="8"/>
      <c r="F7" s="8"/>
      <c r="G7" s="8" t="s">
        <v>29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1</v>
      </c>
      <c r="X7" s="7" t="s">
        <v>140</v>
      </c>
    </row>
    <row r="8" spans="1:36" s="7" customFormat="1">
      <c r="A8" s="8"/>
      <c r="B8" s="8"/>
      <c r="C8" s="8"/>
      <c r="D8" s="8"/>
      <c r="E8" s="8"/>
      <c r="F8" s="8"/>
      <c r="G8" s="8" t="s">
        <v>141</v>
      </c>
      <c r="H8" s="8"/>
      <c r="I8" s="8"/>
      <c r="J8" s="8"/>
      <c r="K8" s="8" t="s">
        <v>142</v>
      </c>
      <c r="L8" s="8"/>
      <c r="M8" s="8" t="s">
        <v>7</v>
      </c>
      <c r="N8" s="8"/>
      <c r="O8" s="8" t="s">
        <v>143</v>
      </c>
      <c r="P8" s="8"/>
      <c r="Q8" s="8" t="s">
        <v>307</v>
      </c>
      <c r="R8" s="8"/>
      <c r="S8" s="8"/>
      <c r="T8" s="8"/>
      <c r="U8" s="7" t="s">
        <v>144</v>
      </c>
      <c r="W8" s="7" t="s">
        <v>9</v>
      </c>
      <c r="X8" s="7" t="s">
        <v>145</v>
      </c>
    </row>
    <row r="9" spans="1:36" s="7" customFormat="1">
      <c r="A9" s="105" t="s">
        <v>434</v>
      </c>
      <c r="C9" s="4" t="s">
        <v>13</v>
      </c>
      <c r="E9" s="4" t="s">
        <v>14</v>
      </c>
      <c r="F9" s="12"/>
      <c r="G9" s="11" t="s">
        <v>146</v>
      </c>
      <c r="H9" s="12"/>
      <c r="I9" s="11" t="s">
        <v>147</v>
      </c>
      <c r="J9" s="12"/>
      <c r="K9" s="11" t="s">
        <v>148</v>
      </c>
      <c r="L9" s="12"/>
      <c r="M9" s="11" t="s">
        <v>149</v>
      </c>
      <c r="N9" s="12"/>
      <c r="O9" s="11" t="s">
        <v>150</v>
      </c>
      <c r="P9" s="12"/>
      <c r="Q9" s="11" t="s">
        <v>151</v>
      </c>
      <c r="R9" s="12"/>
      <c r="S9" s="11" t="s">
        <v>9</v>
      </c>
      <c r="T9" s="12"/>
      <c r="U9" s="11" t="s">
        <v>152</v>
      </c>
      <c r="V9" s="8"/>
      <c r="W9" s="8" t="s">
        <v>153</v>
      </c>
      <c r="X9" s="4" t="s">
        <v>4</v>
      </c>
    </row>
    <row r="10" spans="1:36" s="7" customFormat="1">
      <c r="A10" s="8"/>
      <c r="C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8"/>
      <c r="W10" s="8"/>
      <c r="X10" s="8"/>
    </row>
    <row r="11" spans="1:36" ht="12.75">
      <c r="A11" s="54" t="s">
        <v>346</v>
      </c>
      <c r="B11"/>
    </row>
    <row r="12" spans="1:36" s="60" customFormat="1" hidden="1">
      <c r="A12" s="13" t="s">
        <v>399</v>
      </c>
      <c r="B12" s="13"/>
      <c r="C12" s="13" t="s">
        <v>365</v>
      </c>
      <c r="G12" s="81">
        <v>0</v>
      </c>
      <c r="H12" s="81"/>
      <c r="I12" s="81">
        <v>0</v>
      </c>
      <c r="J12" s="81"/>
      <c r="K12" s="81">
        <v>0</v>
      </c>
      <c r="L12" s="81"/>
      <c r="M12" s="81">
        <v>0</v>
      </c>
      <c r="N12" s="81"/>
      <c r="O12" s="81">
        <v>0</v>
      </c>
      <c r="P12" s="81"/>
      <c r="Q12" s="81">
        <v>0</v>
      </c>
      <c r="R12" s="81"/>
      <c r="S12" s="82">
        <f>SUM(G12:R12)</f>
        <v>0</v>
      </c>
      <c r="T12" s="81"/>
      <c r="U12" s="81">
        <v>0</v>
      </c>
      <c r="V12" s="81"/>
      <c r="W12" s="81"/>
      <c r="X12" s="81">
        <f>'St of Net Assets'!O13-U12</f>
        <v>0</v>
      </c>
      <c r="Y12" s="81"/>
      <c r="Z12" s="60" t="s">
        <v>400</v>
      </c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6" s="81" customFormat="1">
      <c r="A13" s="81" t="s">
        <v>323</v>
      </c>
      <c r="C13" s="81" t="s">
        <v>155</v>
      </c>
      <c r="E13" s="89">
        <v>62042</v>
      </c>
      <c r="G13" s="81">
        <f>423627+42650+593665</f>
        <v>1059942</v>
      </c>
      <c r="I13" s="81">
        <v>98359</v>
      </c>
      <c r="K13" s="81">
        <v>0</v>
      </c>
      <c r="M13" s="81">
        <v>0</v>
      </c>
      <c r="O13" s="81">
        <v>241616</v>
      </c>
      <c r="Q13" s="81">
        <v>0</v>
      </c>
      <c r="S13" s="82">
        <f>SUM(G13:R13)</f>
        <v>1399917</v>
      </c>
      <c r="U13" s="81">
        <v>138446</v>
      </c>
      <c r="V13" s="13"/>
      <c r="W13" s="13"/>
      <c r="X13" s="13">
        <f>'St of Net Assets'!O14-U13</f>
        <v>0</v>
      </c>
      <c r="Y13" s="60"/>
      <c r="Z13" s="13" t="s">
        <v>401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s="60" customFormat="1">
      <c r="A14" s="13" t="s">
        <v>265</v>
      </c>
      <c r="C14" s="60" t="s">
        <v>156</v>
      </c>
      <c r="E14" s="60">
        <v>50815</v>
      </c>
      <c r="G14" s="13">
        <v>0</v>
      </c>
      <c r="H14" s="13"/>
      <c r="I14" s="13">
        <v>0</v>
      </c>
      <c r="J14" s="13"/>
      <c r="K14" s="13">
        <v>0</v>
      </c>
      <c r="L14" s="13"/>
      <c r="M14" s="13">
        <v>0</v>
      </c>
      <c r="N14" s="13"/>
      <c r="O14" s="13">
        <v>8844946</v>
      </c>
      <c r="P14" s="13"/>
      <c r="Q14" s="13">
        <v>0</v>
      </c>
      <c r="R14" s="13"/>
      <c r="S14" s="64">
        <f>SUM(G14:R14)</f>
        <v>8844946</v>
      </c>
      <c r="T14" s="13"/>
      <c r="U14" s="13">
        <v>154487</v>
      </c>
      <c r="V14" s="13"/>
      <c r="W14" s="13"/>
      <c r="X14" s="13">
        <f>'St of Net Assets'!O15-U14</f>
        <v>0</v>
      </c>
      <c r="Z14" s="13" t="s">
        <v>401</v>
      </c>
    </row>
    <row r="15" spans="1:36" s="60" customFormat="1">
      <c r="A15" s="13" t="s">
        <v>277</v>
      </c>
      <c r="C15" s="60" t="s">
        <v>158</v>
      </c>
      <c r="E15" s="60">
        <v>51169</v>
      </c>
      <c r="G15" s="13">
        <v>0</v>
      </c>
      <c r="H15" s="13"/>
      <c r="I15" s="13">
        <v>0</v>
      </c>
      <c r="J15" s="13"/>
      <c r="K15" s="13">
        <v>0</v>
      </c>
      <c r="L15" s="13"/>
      <c r="M15" s="13">
        <v>0</v>
      </c>
      <c r="N15" s="13"/>
      <c r="O15" s="13">
        <v>621680</v>
      </c>
      <c r="P15" s="13"/>
      <c r="Q15" s="13">
        <v>0</v>
      </c>
      <c r="R15" s="13"/>
      <c r="S15" s="64">
        <f t="shared" ref="S15:S62" si="0">SUM(G15:R15)</f>
        <v>621680</v>
      </c>
      <c r="T15" s="13"/>
      <c r="U15" s="13">
        <v>229534</v>
      </c>
      <c r="V15" s="13"/>
      <c r="W15" s="13"/>
      <c r="X15" s="13">
        <f>'St of Net Assets'!O16-U15</f>
        <v>0</v>
      </c>
      <c r="Z15" s="13" t="s">
        <v>401</v>
      </c>
    </row>
    <row r="16" spans="1:36" s="60" customFormat="1">
      <c r="A16" s="13" t="s">
        <v>267</v>
      </c>
      <c r="C16" s="60" t="s">
        <v>162</v>
      </c>
      <c r="E16" s="60">
        <v>50856</v>
      </c>
      <c r="G16" s="13">
        <v>0</v>
      </c>
      <c r="H16" s="13"/>
      <c r="I16" s="13">
        <v>0</v>
      </c>
      <c r="J16" s="13"/>
      <c r="K16" s="13">
        <v>333335</v>
      </c>
      <c r="L16" s="13"/>
      <c r="M16" s="13">
        <v>0</v>
      </c>
      <c r="N16" s="13"/>
      <c r="O16" s="13">
        <v>1247445</v>
      </c>
      <c r="P16" s="13"/>
      <c r="Q16" s="13">
        <v>0</v>
      </c>
      <c r="R16" s="13"/>
      <c r="S16" s="64">
        <f t="shared" si="0"/>
        <v>1580780</v>
      </c>
      <c r="T16" s="13"/>
      <c r="U16" s="13">
        <v>89136</v>
      </c>
      <c r="V16" s="13"/>
      <c r="W16" s="13"/>
      <c r="X16" s="13">
        <f>'St of Net Assets'!O17-U16</f>
        <v>0</v>
      </c>
      <c r="Z16" s="13" t="s">
        <v>401</v>
      </c>
    </row>
    <row r="17" spans="1:26">
      <c r="A17" s="13" t="s">
        <v>290</v>
      </c>
      <c r="C17" s="19" t="s">
        <v>254</v>
      </c>
      <c r="E17" s="19">
        <v>51656</v>
      </c>
      <c r="G17" s="2">
        <v>0</v>
      </c>
      <c r="H17" s="2"/>
      <c r="I17" s="2">
        <v>0</v>
      </c>
      <c r="J17" s="2"/>
      <c r="K17" s="2">
        <v>0</v>
      </c>
      <c r="L17" s="2"/>
      <c r="M17" s="2">
        <v>233405</v>
      </c>
      <c r="N17" s="2"/>
      <c r="O17" s="2">
        <v>489322</v>
      </c>
      <c r="P17" s="2"/>
      <c r="Q17" s="2">
        <v>16110</v>
      </c>
      <c r="R17" s="2"/>
      <c r="S17" s="36">
        <f t="shared" si="0"/>
        <v>738837</v>
      </c>
      <c r="T17" s="2"/>
      <c r="U17" s="2">
        <v>126712</v>
      </c>
      <c r="V17" s="2"/>
      <c r="W17" s="2"/>
      <c r="X17" s="2">
        <f>'St of Net Assets'!O18-U17</f>
        <v>0</v>
      </c>
    </row>
    <row r="18" spans="1:26">
      <c r="A18" s="13" t="s">
        <v>388</v>
      </c>
      <c r="C18" s="19" t="s">
        <v>159</v>
      </c>
      <c r="E18" s="19">
        <v>50880</v>
      </c>
      <c r="G18" s="2">
        <v>0</v>
      </c>
      <c r="H18" s="2"/>
      <c r="I18" s="2">
        <v>0</v>
      </c>
      <c r="J18" s="2"/>
      <c r="K18" s="2">
        <v>0</v>
      </c>
      <c r="L18" s="2"/>
      <c r="M18" s="2">
        <v>0</v>
      </c>
      <c r="N18" s="2"/>
      <c r="O18" s="2">
        <v>2153443</v>
      </c>
      <c r="P18" s="2"/>
      <c r="Q18" s="2">
        <v>0</v>
      </c>
      <c r="R18" s="2"/>
      <c r="S18" s="36">
        <f t="shared" si="0"/>
        <v>2153443</v>
      </c>
      <c r="T18" s="2"/>
      <c r="U18" s="2">
        <v>218881</v>
      </c>
      <c r="V18" s="2"/>
      <c r="W18" s="2"/>
      <c r="X18" s="2">
        <f>'St of Net Assets'!O19-U18</f>
        <v>0</v>
      </c>
    </row>
    <row r="19" spans="1:26" s="60" customFormat="1" hidden="1">
      <c r="A19" s="17" t="s">
        <v>396</v>
      </c>
      <c r="C19" s="60" t="s">
        <v>282</v>
      </c>
      <c r="E19" s="60">
        <v>63511</v>
      </c>
      <c r="G19" s="13">
        <v>0</v>
      </c>
      <c r="H19" s="13"/>
      <c r="I19" s="13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64">
        <f t="shared" si="0"/>
        <v>0</v>
      </c>
      <c r="T19" s="13"/>
      <c r="U19" s="13">
        <v>0</v>
      </c>
      <c r="V19" s="13"/>
      <c r="W19" s="13"/>
      <c r="X19" s="13">
        <f>'St of Net Assets'!O20-U19</f>
        <v>0</v>
      </c>
      <c r="Z19" s="80" t="s">
        <v>397</v>
      </c>
    </row>
    <row r="20" spans="1:26">
      <c r="A20" s="13" t="s">
        <v>392</v>
      </c>
      <c r="C20" s="19" t="s">
        <v>175</v>
      </c>
      <c r="E20" s="19">
        <v>50906</v>
      </c>
      <c r="G20" s="2">
        <v>0</v>
      </c>
      <c r="H20" s="2"/>
      <c r="I20" s="2">
        <v>0</v>
      </c>
      <c r="J20" s="2"/>
      <c r="K20" s="2">
        <v>0</v>
      </c>
      <c r="L20" s="2"/>
      <c r="M20" s="2">
        <v>0</v>
      </c>
      <c r="N20" s="2"/>
      <c r="O20" s="2">
        <v>356942</v>
      </c>
      <c r="P20" s="2"/>
      <c r="Q20" s="2">
        <v>0</v>
      </c>
      <c r="R20" s="2"/>
      <c r="S20" s="36">
        <f t="shared" si="0"/>
        <v>356942</v>
      </c>
      <c r="T20" s="2"/>
      <c r="U20" s="2">
        <v>105354</v>
      </c>
      <c r="V20" s="2"/>
      <c r="W20" s="2"/>
      <c r="X20" s="2">
        <f>'St of Net Assets'!O21-U20</f>
        <v>0</v>
      </c>
    </row>
    <row r="21" spans="1:26">
      <c r="A21" s="13" t="s">
        <v>328</v>
      </c>
      <c r="C21" s="19" t="s">
        <v>272</v>
      </c>
      <c r="E21" s="19">
        <v>65227</v>
      </c>
      <c r="G21" s="2">
        <v>0</v>
      </c>
      <c r="H21" s="2"/>
      <c r="I21" s="2">
        <v>241579</v>
      </c>
      <c r="J21" s="2"/>
      <c r="K21" s="2">
        <v>0</v>
      </c>
      <c r="L21" s="2"/>
      <c r="M21" s="2">
        <v>0</v>
      </c>
      <c r="N21" s="2"/>
      <c r="O21" s="2">
        <v>266317</v>
      </c>
      <c r="P21" s="2"/>
      <c r="Q21" s="2">
        <v>0</v>
      </c>
      <c r="R21" s="2"/>
      <c r="S21" s="36">
        <f t="shared" si="0"/>
        <v>507896</v>
      </c>
      <c r="T21" s="2"/>
      <c r="U21" s="2">
        <v>55179</v>
      </c>
      <c r="V21" s="2"/>
      <c r="W21" s="2"/>
      <c r="X21" s="2">
        <f>'St of Net Assets'!O22-U21</f>
        <v>0</v>
      </c>
    </row>
    <row r="22" spans="1:26" s="60" customFormat="1">
      <c r="A22" s="13" t="s">
        <v>403</v>
      </c>
      <c r="C22" s="60" t="s">
        <v>207</v>
      </c>
      <c r="E22" s="60">
        <v>51201</v>
      </c>
      <c r="G22" s="13">
        <f>24175000+3300000+507998</f>
        <v>27982998</v>
      </c>
      <c r="H22" s="13"/>
      <c r="I22" s="13">
        <v>333334</v>
      </c>
      <c r="J22" s="13"/>
      <c r="K22" s="13">
        <v>0</v>
      </c>
      <c r="L22" s="13"/>
      <c r="M22" s="13">
        <v>0</v>
      </c>
      <c r="N22" s="13"/>
      <c r="O22" s="13">
        <v>887814</v>
      </c>
      <c r="P22" s="13"/>
      <c r="Q22" s="13">
        <v>0</v>
      </c>
      <c r="R22" s="13"/>
      <c r="S22" s="64">
        <f t="shared" si="0"/>
        <v>29204146</v>
      </c>
      <c r="T22" s="13"/>
      <c r="U22" s="13">
        <v>4230155</v>
      </c>
      <c r="V22" s="13"/>
      <c r="W22" s="13"/>
      <c r="X22" s="13">
        <f>'St of Net Assets'!O23-U22</f>
        <v>0</v>
      </c>
      <c r="Z22" s="17" t="s">
        <v>408</v>
      </c>
    </row>
    <row r="23" spans="1:26">
      <c r="A23" s="2" t="s">
        <v>325</v>
      </c>
      <c r="C23" s="19" t="s">
        <v>177</v>
      </c>
      <c r="E23" s="19">
        <v>50922</v>
      </c>
      <c r="G23" s="2">
        <v>0</v>
      </c>
      <c r="H23" s="2"/>
      <c r="I23" s="2">
        <v>0</v>
      </c>
      <c r="J23" s="2"/>
      <c r="K23" s="2">
        <v>0</v>
      </c>
      <c r="L23" s="2"/>
      <c r="M23" s="2">
        <v>0</v>
      </c>
      <c r="N23" s="2"/>
      <c r="O23" s="2">
        <v>1606267</v>
      </c>
      <c r="P23" s="2"/>
      <c r="Q23" s="2">
        <v>0</v>
      </c>
      <c r="R23" s="2"/>
      <c r="S23" s="36">
        <f t="shared" si="0"/>
        <v>1606267</v>
      </c>
      <c r="T23" s="2"/>
      <c r="U23" s="2">
        <v>140815</v>
      </c>
      <c r="V23" s="2"/>
      <c r="W23" s="2"/>
      <c r="X23" s="2">
        <f>'St of Net Assets'!O24-U23</f>
        <v>0</v>
      </c>
    </row>
    <row r="24" spans="1:26">
      <c r="A24" s="2" t="s">
        <v>324</v>
      </c>
      <c r="C24" s="19" t="s">
        <v>181</v>
      </c>
      <c r="E24" s="19">
        <v>50989</v>
      </c>
      <c r="G24" s="2">
        <v>0</v>
      </c>
      <c r="H24" s="2"/>
      <c r="I24" s="2">
        <v>116666</v>
      </c>
      <c r="J24" s="2"/>
      <c r="K24" s="2">
        <v>0</v>
      </c>
      <c r="L24" s="2"/>
      <c r="M24" s="2">
        <v>0</v>
      </c>
      <c r="N24" s="2"/>
      <c r="O24" s="2">
        <v>1130852</v>
      </c>
      <c r="P24" s="2"/>
      <c r="Q24" s="2">
        <v>0</v>
      </c>
      <c r="R24" s="2"/>
      <c r="S24" s="36">
        <f t="shared" si="0"/>
        <v>1247518</v>
      </c>
      <c r="T24" s="2"/>
      <c r="U24" s="2">
        <v>117448</v>
      </c>
      <c r="V24" s="2"/>
      <c r="W24" s="2"/>
      <c r="X24" s="2">
        <f>'St of Net Assets'!O25-U24</f>
        <v>0</v>
      </c>
    </row>
    <row r="25" spans="1:26" ht="12" customHeight="1">
      <c r="A25" s="2" t="s">
        <v>326</v>
      </c>
      <c r="C25" s="19" t="s">
        <v>186</v>
      </c>
      <c r="E25" s="19">
        <v>51003</v>
      </c>
      <c r="G25" s="2">
        <v>0</v>
      </c>
      <c r="H25" s="2"/>
      <c r="I25" s="2">
        <v>15977</v>
      </c>
      <c r="J25" s="2"/>
      <c r="K25" s="2">
        <v>600000</v>
      </c>
      <c r="L25" s="2"/>
      <c r="M25" s="2">
        <v>2031</v>
      </c>
      <c r="N25" s="2"/>
      <c r="O25" s="2">
        <v>1531203</v>
      </c>
      <c r="P25" s="2"/>
      <c r="Q25" s="2">
        <v>0</v>
      </c>
      <c r="R25" s="2"/>
      <c r="S25" s="36">
        <f t="shared" si="0"/>
        <v>2149211</v>
      </c>
      <c r="T25" s="2"/>
      <c r="U25" s="2">
        <v>667719</v>
      </c>
      <c r="V25" s="2"/>
      <c r="W25" s="2"/>
      <c r="X25" s="2">
        <f>'St of Net Assets'!O26-U25</f>
        <v>0</v>
      </c>
      <c r="Z25" s="46"/>
    </row>
    <row r="26" spans="1:26" s="60" customFormat="1">
      <c r="A26" s="13" t="s">
        <v>327</v>
      </c>
      <c r="C26" s="60" t="s">
        <v>183</v>
      </c>
      <c r="E26" s="60">
        <v>51029</v>
      </c>
      <c r="G26" s="13">
        <v>0</v>
      </c>
      <c r="H26" s="13"/>
      <c r="I26" s="13">
        <v>0</v>
      </c>
      <c r="J26" s="13"/>
      <c r="K26" s="13">
        <v>1588000</v>
      </c>
      <c r="L26" s="13"/>
      <c r="M26" s="13">
        <v>0</v>
      </c>
      <c r="N26" s="13"/>
      <c r="O26" s="13">
        <v>833927</v>
      </c>
      <c r="P26" s="13"/>
      <c r="Q26" s="13">
        <v>0</v>
      </c>
      <c r="R26" s="13"/>
      <c r="S26" s="64">
        <f t="shared" si="0"/>
        <v>2421927</v>
      </c>
      <c r="T26" s="13"/>
      <c r="U26" s="13">
        <v>148237</v>
      </c>
      <c r="V26" s="13"/>
      <c r="W26" s="13"/>
      <c r="X26" s="13">
        <f>'St of Net Assets'!O27-U26</f>
        <v>0</v>
      </c>
      <c r="Z26" s="13" t="s">
        <v>401</v>
      </c>
    </row>
    <row r="27" spans="1:26">
      <c r="A27" s="2" t="s">
        <v>329</v>
      </c>
      <c r="C27" s="19" t="s">
        <v>275</v>
      </c>
      <c r="E27" s="19">
        <v>50963</v>
      </c>
      <c r="G27" s="2">
        <v>0</v>
      </c>
      <c r="H27" s="2"/>
      <c r="I27" s="2">
        <v>348885</v>
      </c>
      <c r="J27" s="2"/>
      <c r="K27" s="2">
        <v>0</v>
      </c>
      <c r="L27" s="2"/>
      <c r="M27" s="2">
        <v>0</v>
      </c>
      <c r="N27" s="2"/>
      <c r="O27" s="2">
        <v>1131862</v>
      </c>
      <c r="P27" s="2"/>
      <c r="Q27" s="2">
        <v>0</v>
      </c>
      <c r="R27" s="2"/>
      <c r="S27" s="36">
        <f t="shared" si="0"/>
        <v>1480747</v>
      </c>
      <c r="T27" s="2"/>
      <c r="U27" s="2">
        <v>123861</v>
      </c>
      <c r="V27" s="2"/>
      <c r="W27" s="2"/>
      <c r="X27" s="2">
        <f>'St of Net Assets'!O28-U27</f>
        <v>0</v>
      </c>
    </row>
    <row r="28" spans="1:26">
      <c r="A28" s="2" t="s">
        <v>273</v>
      </c>
      <c r="C28" s="19" t="s">
        <v>189</v>
      </c>
      <c r="E28" s="19">
        <v>62067</v>
      </c>
      <c r="G28" s="2">
        <v>2856000</v>
      </c>
      <c r="H28" s="2"/>
      <c r="I28" s="2">
        <v>0</v>
      </c>
      <c r="J28" s="2"/>
      <c r="K28" s="2">
        <v>0</v>
      </c>
      <c r="L28" s="2"/>
      <c r="M28" s="2">
        <v>0</v>
      </c>
      <c r="N28" s="2"/>
      <c r="O28" s="2">
        <v>409549</v>
      </c>
      <c r="P28" s="2"/>
      <c r="Q28" s="2">
        <v>0</v>
      </c>
      <c r="R28" s="2"/>
      <c r="S28" s="36">
        <f t="shared" si="0"/>
        <v>3265549</v>
      </c>
      <c r="T28" s="2"/>
      <c r="U28" s="2">
        <v>237091</v>
      </c>
      <c r="V28" s="2"/>
      <c r="W28" s="2"/>
      <c r="X28" s="2">
        <f>'St of Net Assets'!O29-U28</f>
        <v>0</v>
      </c>
    </row>
    <row r="29" spans="1:26" s="60" customFormat="1">
      <c r="A29" s="13" t="s">
        <v>274</v>
      </c>
      <c r="C29" s="60" t="s">
        <v>195</v>
      </c>
      <c r="E29" s="60">
        <v>51060</v>
      </c>
      <c r="G29" s="13">
        <v>13558397</v>
      </c>
      <c r="H29" s="13"/>
      <c r="I29" s="13">
        <v>0</v>
      </c>
      <c r="J29" s="13"/>
      <c r="K29" s="13">
        <v>0</v>
      </c>
      <c r="L29" s="13"/>
      <c r="M29" s="13">
        <v>0</v>
      </c>
      <c r="N29" s="13"/>
      <c r="O29" s="13">
        <v>3053239</v>
      </c>
      <c r="P29" s="13"/>
      <c r="Q29" s="13">
        <v>0</v>
      </c>
      <c r="R29" s="13"/>
      <c r="S29" s="64">
        <f t="shared" si="0"/>
        <v>16611636</v>
      </c>
      <c r="T29" s="13"/>
      <c r="U29" s="13">
        <v>3908796</v>
      </c>
      <c r="V29" s="13"/>
      <c r="W29" s="13"/>
      <c r="X29" s="13">
        <f>'St of Net Assets'!O30-U29</f>
        <v>0</v>
      </c>
      <c r="Z29" s="13" t="s">
        <v>401</v>
      </c>
    </row>
    <row r="30" spans="1:26">
      <c r="A30" s="2" t="s">
        <v>330</v>
      </c>
      <c r="C30" s="19" t="s">
        <v>193</v>
      </c>
      <c r="E30" s="19">
        <v>51045</v>
      </c>
      <c r="G30" s="2">
        <v>0</v>
      </c>
      <c r="H30" s="2"/>
      <c r="I30" s="2">
        <v>183335</v>
      </c>
      <c r="J30" s="2"/>
      <c r="K30" s="2">
        <v>0</v>
      </c>
      <c r="L30" s="2"/>
      <c r="M30" s="2">
        <v>0</v>
      </c>
      <c r="N30" s="2"/>
      <c r="O30" s="2">
        <v>499972</v>
      </c>
      <c r="P30" s="2"/>
      <c r="Q30" s="2">
        <v>0</v>
      </c>
      <c r="R30" s="2"/>
      <c r="S30" s="36">
        <f t="shared" si="0"/>
        <v>683307</v>
      </c>
      <c r="T30" s="2"/>
      <c r="U30" s="2">
        <v>83419</v>
      </c>
      <c r="V30" s="2"/>
      <c r="W30" s="2"/>
      <c r="X30" s="2">
        <f>'St of Net Assets'!O31-U30</f>
        <v>0</v>
      </c>
    </row>
    <row r="31" spans="1:26">
      <c r="A31" s="2" t="s">
        <v>276</v>
      </c>
      <c r="C31" s="19" t="s">
        <v>200</v>
      </c>
      <c r="E31" s="19">
        <v>51128</v>
      </c>
      <c r="G31" s="2">
        <v>0</v>
      </c>
      <c r="H31" s="2"/>
      <c r="I31" s="2">
        <v>0</v>
      </c>
      <c r="J31" s="2"/>
      <c r="K31" s="2">
        <v>0</v>
      </c>
      <c r="L31" s="2"/>
      <c r="M31" s="2">
        <v>0</v>
      </c>
      <c r="N31" s="2"/>
      <c r="O31" s="2">
        <v>317853</v>
      </c>
      <c r="P31" s="2"/>
      <c r="Q31" s="2">
        <v>0</v>
      </c>
      <c r="R31" s="2"/>
      <c r="S31" s="36">
        <f t="shared" si="0"/>
        <v>317853</v>
      </c>
      <c r="T31" s="2"/>
      <c r="U31" s="2">
        <v>0</v>
      </c>
      <c r="V31" s="2"/>
      <c r="W31" s="2"/>
      <c r="X31" s="2">
        <f>'St of Net Assets'!O32-U31</f>
        <v>0</v>
      </c>
    </row>
    <row r="32" spans="1:26">
      <c r="A32" s="2" t="s">
        <v>331</v>
      </c>
      <c r="C32" s="19" t="s">
        <v>202</v>
      </c>
      <c r="E32" s="19">
        <v>51144</v>
      </c>
      <c r="G32" s="2">
        <v>131316</v>
      </c>
      <c r="H32" s="2"/>
      <c r="I32" s="2">
        <v>4532000</v>
      </c>
      <c r="J32" s="2"/>
      <c r="K32" s="2">
        <v>0</v>
      </c>
      <c r="L32" s="2"/>
      <c r="M32" s="2">
        <v>29086</v>
      </c>
      <c r="N32" s="2"/>
      <c r="O32" s="2">
        <v>422169</v>
      </c>
      <c r="P32" s="2"/>
      <c r="Q32" s="2">
        <v>0</v>
      </c>
      <c r="R32" s="2"/>
      <c r="S32" s="36">
        <f t="shared" si="0"/>
        <v>5114571</v>
      </c>
      <c r="T32" s="2"/>
      <c r="U32" s="2">
        <v>291356</v>
      </c>
      <c r="V32" s="2"/>
      <c r="W32" s="2"/>
      <c r="X32" s="2">
        <f>'St of Net Assets'!O33-U32</f>
        <v>0</v>
      </c>
    </row>
    <row r="33" spans="1:26">
      <c r="A33" s="2" t="s">
        <v>278</v>
      </c>
      <c r="C33" s="19" t="s">
        <v>205</v>
      </c>
      <c r="E33" s="19">
        <v>51185</v>
      </c>
      <c r="G33" s="2">
        <v>0</v>
      </c>
      <c r="H33" s="2"/>
      <c r="I33" s="2">
        <v>0</v>
      </c>
      <c r="J33" s="2"/>
      <c r="K33" s="2">
        <v>29056</v>
      </c>
      <c r="L33" s="2"/>
      <c r="M33" s="2">
        <v>0</v>
      </c>
      <c r="N33" s="2"/>
      <c r="O33" s="2">
        <v>390412</v>
      </c>
      <c r="P33" s="2"/>
      <c r="Q33" s="2">
        <v>0</v>
      </c>
      <c r="R33" s="2"/>
      <c r="S33" s="36">
        <f t="shared" si="0"/>
        <v>419468</v>
      </c>
      <c r="T33" s="2"/>
      <c r="U33" s="2">
        <v>29056</v>
      </c>
      <c r="V33" s="2"/>
      <c r="W33" s="2"/>
      <c r="X33" s="2">
        <f>'St of Net Assets'!O34-U33</f>
        <v>0</v>
      </c>
    </row>
    <row r="34" spans="1:26" s="71" customFormat="1" hidden="1">
      <c r="A34" s="69" t="s">
        <v>362</v>
      </c>
      <c r="C34" s="71" t="s">
        <v>207</v>
      </c>
      <c r="E34" s="71">
        <v>47977</v>
      </c>
      <c r="G34" s="69">
        <v>0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8">
        <f t="shared" si="0"/>
        <v>0</v>
      </c>
      <c r="T34" s="69"/>
      <c r="U34" s="69">
        <v>0</v>
      </c>
      <c r="V34" s="69"/>
      <c r="W34" s="69"/>
      <c r="X34" s="69">
        <f>'St of Net Assets'!O35-U34</f>
        <v>0</v>
      </c>
      <c r="Z34" s="93" t="s">
        <v>404</v>
      </c>
    </row>
    <row r="35" spans="1:26">
      <c r="A35" s="2" t="s">
        <v>280</v>
      </c>
      <c r="C35" s="19" t="s">
        <v>154</v>
      </c>
      <c r="E35" s="19">
        <v>51227</v>
      </c>
      <c r="G35" s="2">
        <v>0</v>
      </c>
      <c r="H35" s="2"/>
      <c r="I35" s="2">
        <v>0</v>
      </c>
      <c r="J35" s="2"/>
      <c r="K35" s="2">
        <v>0</v>
      </c>
      <c r="L35" s="2"/>
      <c r="M35" s="2">
        <v>0</v>
      </c>
      <c r="N35" s="2"/>
      <c r="O35" s="2">
        <v>2927309</v>
      </c>
      <c r="P35" s="2"/>
      <c r="Q35" s="2">
        <v>0</v>
      </c>
      <c r="R35" s="2"/>
      <c r="S35" s="36">
        <f t="shared" si="0"/>
        <v>2927309</v>
      </c>
      <c r="T35" s="2"/>
      <c r="U35" s="2">
        <v>345649</v>
      </c>
      <c r="V35" s="2"/>
      <c r="W35" s="2"/>
      <c r="X35" s="2">
        <f>'St of Net Assets'!O36-U35</f>
        <v>0</v>
      </c>
      <c r="Z35" s="60"/>
    </row>
    <row r="36" spans="1:26" s="60" customFormat="1">
      <c r="A36" s="13" t="s">
        <v>283</v>
      </c>
      <c r="C36" s="60" t="s">
        <v>214</v>
      </c>
      <c r="E36" s="60">
        <v>51243</v>
      </c>
      <c r="G36" s="13">
        <v>15006937</v>
      </c>
      <c r="H36" s="13"/>
      <c r="I36" s="13">
        <v>0</v>
      </c>
      <c r="J36" s="13"/>
      <c r="K36" s="13">
        <v>0</v>
      </c>
      <c r="L36" s="13"/>
      <c r="M36" s="13">
        <v>0</v>
      </c>
      <c r="N36" s="13"/>
      <c r="O36" s="13">
        <v>1122476</v>
      </c>
      <c r="P36" s="13"/>
      <c r="Q36" s="13">
        <v>0</v>
      </c>
      <c r="R36" s="13"/>
      <c r="S36" s="64">
        <f t="shared" si="0"/>
        <v>16129413</v>
      </c>
      <c r="T36" s="13"/>
      <c r="U36" s="13">
        <v>280447</v>
      </c>
      <c r="V36" s="13"/>
      <c r="W36" s="13"/>
      <c r="X36" s="13">
        <f>'St of Net Assets'!O37-U36</f>
        <v>0</v>
      </c>
    </row>
    <row r="37" spans="1:26">
      <c r="A37" s="2" t="s">
        <v>332</v>
      </c>
      <c r="C37" s="19" t="s">
        <v>230</v>
      </c>
      <c r="E37" s="19">
        <v>51391</v>
      </c>
      <c r="G37" s="2">
        <v>0</v>
      </c>
      <c r="H37" s="2"/>
      <c r="I37" s="2">
        <v>0</v>
      </c>
      <c r="J37" s="2"/>
      <c r="K37" s="2">
        <v>0</v>
      </c>
      <c r="L37" s="2"/>
      <c r="M37" s="2">
        <v>0</v>
      </c>
      <c r="N37" s="2"/>
      <c r="O37" s="2">
        <v>1130453</v>
      </c>
      <c r="P37" s="2"/>
      <c r="Q37" s="2">
        <v>0</v>
      </c>
      <c r="R37" s="2"/>
      <c r="S37" s="36">
        <f t="shared" si="0"/>
        <v>1130453</v>
      </c>
      <c r="T37" s="2"/>
      <c r="U37" s="2">
        <v>71405</v>
      </c>
      <c r="V37" s="2"/>
      <c r="W37" s="2"/>
      <c r="X37" s="2">
        <f>'St of Net Assets'!O38-U37</f>
        <v>0</v>
      </c>
    </row>
    <row r="38" spans="1:26">
      <c r="A38" s="2" t="s">
        <v>286</v>
      </c>
      <c r="C38" s="19" t="s">
        <v>216</v>
      </c>
      <c r="E38" s="19">
        <v>62109</v>
      </c>
      <c r="G38" s="2">
        <v>0</v>
      </c>
      <c r="H38" s="2"/>
      <c r="I38" s="2">
        <v>0</v>
      </c>
      <c r="J38" s="2"/>
      <c r="K38" s="2">
        <v>0</v>
      </c>
      <c r="L38" s="2"/>
      <c r="M38" s="2">
        <v>0</v>
      </c>
      <c r="N38" s="2"/>
      <c r="O38" s="2">
        <f>1388417+49035</f>
        <v>1437452</v>
      </c>
      <c r="P38" s="2"/>
      <c r="Q38" s="2">
        <v>0</v>
      </c>
      <c r="R38" s="2"/>
      <c r="S38" s="36">
        <f t="shared" si="0"/>
        <v>1437452</v>
      </c>
      <c r="T38" s="2"/>
      <c r="U38" s="2">
        <v>95436</v>
      </c>
      <c r="V38" s="2"/>
      <c r="W38" s="2"/>
      <c r="X38" s="2">
        <f>'St of Net Assets'!O39-U38</f>
        <v>0</v>
      </c>
    </row>
    <row r="39" spans="1:26">
      <c r="A39" s="2" t="s">
        <v>333</v>
      </c>
      <c r="C39" s="19" t="s">
        <v>222</v>
      </c>
      <c r="E39" s="19">
        <v>51284</v>
      </c>
      <c r="G39" s="2">
        <v>6775395</v>
      </c>
      <c r="H39" s="2"/>
      <c r="I39" s="2">
        <v>0</v>
      </c>
      <c r="J39" s="2"/>
      <c r="K39" s="2">
        <v>0</v>
      </c>
      <c r="L39" s="2"/>
      <c r="M39" s="2">
        <v>0</v>
      </c>
      <c r="N39" s="2"/>
      <c r="O39" s="2">
        <v>1973114</v>
      </c>
      <c r="P39" s="2"/>
      <c r="Q39" s="2">
        <v>1725000</v>
      </c>
      <c r="R39" s="2"/>
      <c r="S39" s="36">
        <f t="shared" si="0"/>
        <v>10473509</v>
      </c>
      <c r="T39" s="2"/>
      <c r="U39" s="2">
        <v>454344</v>
      </c>
      <c r="V39" s="2"/>
      <c r="W39" s="2"/>
      <c r="X39" s="2">
        <f>'St of Net Assets'!O40-U39</f>
        <v>0</v>
      </c>
    </row>
    <row r="40" spans="1:26">
      <c r="A40" s="2" t="s">
        <v>334</v>
      </c>
      <c r="C40" s="19" t="s">
        <v>224</v>
      </c>
      <c r="E40" s="19">
        <v>51300</v>
      </c>
      <c r="G40" s="2">
        <v>0</v>
      </c>
      <c r="H40" s="2"/>
      <c r="I40" s="2">
        <v>0</v>
      </c>
      <c r="J40" s="2"/>
      <c r="K40" s="2">
        <v>0</v>
      </c>
      <c r="L40" s="2"/>
      <c r="M40" s="2">
        <v>45899</v>
      </c>
      <c r="N40" s="2"/>
      <c r="O40" s="2">
        <v>570332</v>
      </c>
      <c r="P40" s="2"/>
      <c r="Q40" s="2">
        <v>0</v>
      </c>
      <c r="R40" s="2"/>
      <c r="S40" s="36">
        <f t="shared" si="0"/>
        <v>616231</v>
      </c>
      <c r="T40" s="2"/>
      <c r="U40" s="2">
        <v>77852</v>
      </c>
      <c r="V40" s="2"/>
      <c r="W40" s="2"/>
      <c r="X40" s="2">
        <f>'St of Net Assets'!O41-U40</f>
        <v>0</v>
      </c>
    </row>
    <row r="41" spans="1:26" hidden="1">
      <c r="A41" s="13" t="s">
        <v>279</v>
      </c>
      <c r="C41" s="19" t="s">
        <v>209</v>
      </c>
      <c r="E41" s="19">
        <v>51334</v>
      </c>
      <c r="G41" s="2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6">
        <f t="shared" si="0"/>
        <v>0</v>
      </c>
      <c r="T41" s="2"/>
      <c r="U41" s="2">
        <v>0</v>
      </c>
      <c r="V41" s="2"/>
      <c r="W41" s="2"/>
      <c r="X41" s="2">
        <f>'St of Net Assets'!O42-U41</f>
        <v>0</v>
      </c>
    </row>
    <row r="42" spans="1:26">
      <c r="A42" s="2" t="s">
        <v>335</v>
      </c>
      <c r="C42" s="19" t="s">
        <v>264</v>
      </c>
      <c r="E42" s="19">
        <v>51359</v>
      </c>
      <c r="G42" s="2">
        <f>1220000+58890000+823224</f>
        <v>60933224</v>
      </c>
      <c r="H42" s="2"/>
      <c r="I42" s="2">
        <v>0</v>
      </c>
      <c r="J42" s="2"/>
      <c r="K42" s="2">
        <v>0</v>
      </c>
      <c r="L42" s="2"/>
      <c r="M42" s="2">
        <v>94882</v>
      </c>
      <c r="N42" s="2"/>
      <c r="O42" s="2">
        <v>2830348</v>
      </c>
      <c r="P42" s="2"/>
      <c r="Q42" s="2">
        <v>0</v>
      </c>
      <c r="R42" s="2"/>
      <c r="S42" s="36">
        <f t="shared" si="0"/>
        <v>63858454</v>
      </c>
      <c r="T42" s="2"/>
      <c r="U42" s="2">
        <v>2088656</v>
      </c>
      <c r="V42" s="2"/>
      <c r="W42" s="2"/>
      <c r="X42" s="2">
        <f>'St of Net Assets'!O43-U42</f>
        <v>0</v>
      </c>
    </row>
    <row r="43" spans="1:26">
      <c r="A43" s="2" t="s">
        <v>336</v>
      </c>
      <c r="C43" s="19" t="s">
        <v>238</v>
      </c>
      <c r="E43" s="19">
        <v>51433</v>
      </c>
      <c r="G43" s="2">
        <v>0</v>
      </c>
      <c r="H43" s="2"/>
      <c r="I43" s="2">
        <v>0</v>
      </c>
      <c r="J43" s="2"/>
      <c r="K43" s="2">
        <v>0</v>
      </c>
      <c r="L43" s="2"/>
      <c r="M43" s="2">
        <v>3547522</v>
      </c>
      <c r="N43" s="2"/>
      <c r="O43" s="2">
        <v>1235190</v>
      </c>
      <c r="P43" s="2"/>
      <c r="Q43" s="2">
        <v>0</v>
      </c>
      <c r="R43" s="2"/>
      <c r="S43" s="36">
        <f t="shared" si="0"/>
        <v>4782712</v>
      </c>
      <c r="T43" s="2"/>
      <c r="U43" s="2">
        <v>445983</v>
      </c>
      <c r="V43" s="2"/>
      <c r="W43" s="2"/>
      <c r="X43" s="2">
        <f>'St of Net Assets'!O44-U43</f>
        <v>0</v>
      </c>
    </row>
    <row r="44" spans="1:26">
      <c r="A44" s="2" t="s">
        <v>337</v>
      </c>
      <c r="C44" s="19" t="s">
        <v>288</v>
      </c>
      <c r="E44" s="19">
        <v>51375</v>
      </c>
      <c r="G44" s="2">
        <v>0</v>
      </c>
      <c r="H44" s="2"/>
      <c r="I44" s="2">
        <v>207229</v>
      </c>
      <c r="J44" s="2"/>
      <c r="K44" s="2">
        <v>0</v>
      </c>
      <c r="L44" s="2"/>
      <c r="M44" s="2">
        <v>3330000</v>
      </c>
      <c r="N44" s="2"/>
      <c r="O44" s="2">
        <v>430618</v>
      </c>
      <c r="P44" s="2"/>
      <c r="Q44" s="2">
        <v>0</v>
      </c>
      <c r="R44" s="2"/>
      <c r="S44" s="36">
        <f t="shared" si="0"/>
        <v>3967847</v>
      </c>
      <c r="T44" s="2"/>
      <c r="U44" s="2">
        <v>180607</v>
      </c>
      <c r="V44" s="2"/>
      <c r="W44" s="2"/>
      <c r="X44" s="2">
        <f>'St of Net Assets'!O45-U44</f>
        <v>0</v>
      </c>
    </row>
    <row r="45" spans="1:26" s="60" customFormat="1">
      <c r="A45" s="13" t="s">
        <v>338</v>
      </c>
      <c r="C45" s="60" t="s">
        <v>236</v>
      </c>
      <c r="E45" s="60">
        <v>51417</v>
      </c>
      <c r="G45" s="2">
        <f>390000+11970000</f>
        <v>12360000</v>
      </c>
      <c r="H45" s="2"/>
      <c r="I45" s="2">
        <v>0</v>
      </c>
      <c r="J45" s="2"/>
      <c r="K45" s="2">
        <v>0</v>
      </c>
      <c r="L45" s="2"/>
      <c r="M45" s="2">
        <v>124609</v>
      </c>
      <c r="N45" s="2"/>
      <c r="O45" s="2">
        <v>1643056</v>
      </c>
      <c r="P45" s="2"/>
      <c r="Q45" s="2">
        <v>131222</v>
      </c>
      <c r="R45" s="2"/>
      <c r="S45" s="36">
        <f t="shared" si="0"/>
        <v>14258887</v>
      </c>
      <c r="T45" s="2"/>
      <c r="U45" s="2">
        <v>909951</v>
      </c>
      <c r="V45" s="2"/>
      <c r="W45" s="2"/>
      <c r="X45" s="2">
        <f>'St of Net Assets'!O46-U45</f>
        <v>0</v>
      </c>
    </row>
    <row r="46" spans="1:26" s="60" customFormat="1">
      <c r="A46" s="13" t="s">
        <v>339</v>
      </c>
      <c r="C46" s="60" t="s">
        <v>177</v>
      </c>
      <c r="E46" s="60">
        <v>50948</v>
      </c>
      <c r="G46" s="2">
        <v>0</v>
      </c>
      <c r="H46" s="2"/>
      <c r="I46" s="2">
        <v>0</v>
      </c>
      <c r="J46" s="2"/>
      <c r="K46" s="2">
        <v>0</v>
      </c>
      <c r="L46" s="2"/>
      <c r="M46" s="2">
        <v>0</v>
      </c>
      <c r="N46" s="2"/>
      <c r="O46" s="2">
        <f>1450280+234873</f>
        <v>1685153</v>
      </c>
      <c r="P46" s="2"/>
      <c r="Q46" s="2">
        <v>0</v>
      </c>
      <c r="R46" s="2"/>
      <c r="S46" s="36">
        <f t="shared" si="0"/>
        <v>1685153</v>
      </c>
      <c r="T46" s="2"/>
      <c r="U46" s="2">
        <f>727975+157676</f>
        <v>885651</v>
      </c>
      <c r="V46" s="2"/>
      <c r="W46" s="2"/>
      <c r="X46" s="2">
        <f>'St of Net Assets'!O47-U46</f>
        <v>0</v>
      </c>
      <c r="Z46" s="13" t="s">
        <v>401</v>
      </c>
    </row>
    <row r="47" spans="1:26" s="60" customFormat="1">
      <c r="A47" s="13" t="s">
        <v>340</v>
      </c>
      <c r="C47" s="60" t="s">
        <v>250</v>
      </c>
      <c r="E47" s="60">
        <v>63495</v>
      </c>
      <c r="G47" s="2">
        <v>0</v>
      </c>
      <c r="H47" s="2"/>
      <c r="I47" s="2">
        <v>333335</v>
      </c>
      <c r="J47" s="2"/>
      <c r="K47" s="2">
        <v>0</v>
      </c>
      <c r="L47" s="2"/>
      <c r="M47" s="2">
        <v>0</v>
      </c>
      <c r="N47" s="2"/>
      <c r="O47" s="2">
        <v>433850</v>
      </c>
      <c r="P47" s="2"/>
      <c r="Q47" s="2">
        <v>0</v>
      </c>
      <c r="R47" s="2"/>
      <c r="S47" s="36">
        <f t="shared" si="0"/>
        <v>767185</v>
      </c>
      <c r="T47" s="2"/>
      <c r="U47" s="2">
        <v>84558</v>
      </c>
      <c r="V47" s="2"/>
      <c r="W47" s="2"/>
      <c r="X47" s="2">
        <f>'St of Net Assets'!O48-U47</f>
        <v>0</v>
      </c>
    </row>
    <row r="48" spans="1:26">
      <c r="A48" s="2" t="s">
        <v>341</v>
      </c>
      <c r="C48" s="19" t="s">
        <v>242</v>
      </c>
      <c r="E48" s="19">
        <v>51490</v>
      </c>
      <c r="G48" s="2">
        <v>0</v>
      </c>
      <c r="H48" s="2"/>
      <c r="I48" s="2">
        <v>146000</v>
      </c>
      <c r="J48" s="2"/>
      <c r="K48" s="2">
        <v>0</v>
      </c>
      <c r="L48" s="2"/>
      <c r="M48" s="2">
        <v>3150000</v>
      </c>
      <c r="N48" s="2"/>
      <c r="O48" s="2">
        <v>599581</v>
      </c>
      <c r="P48" s="2"/>
      <c r="Q48" s="2">
        <v>0</v>
      </c>
      <c r="R48" s="2"/>
      <c r="S48" s="36">
        <f t="shared" si="0"/>
        <v>3895581</v>
      </c>
      <c r="T48" s="2"/>
      <c r="U48" s="2">
        <v>134574</v>
      </c>
      <c r="V48" s="2"/>
      <c r="W48" s="2"/>
      <c r="X48" s="2">
        <f>'St of Net Assets'!O49-U48</f>
        <v>0</v>
      </c>
    </row>
    <row r="49" spans="1:26">
      <c r="A49" s="13" t="s">
        <v>268</v>
      </c>
      <c r="C49" s="19" t="s">
        <v>164</v>
      </c>
      <c r="E49" s="19">
        <v>50799</v>
      </c>
      <c r="G49" s="2">
        <v>0</v>
      </c>
      <c r="H49" s="2"/>
      <c r="I49" s="2">
        <v>366668</v>
      </c>
      <c r="J49" s="2"/>
      <c r="K49" s="2">
        <v>0</v>
      </c>
      <c r="L49" s="2"/>
      <c r="M49" s="2">
        <v>3301583</v>
      </c>
      <c r="N49" s="2"/>
      <c r="O49" s="2">
        <v>403936</v>
      </c>
      <c r="P49" s="2"/>
      <c r="Q49" s="2">
        <v>0</v>
      </c>
      <c r="R49" s="2"/>
      <c r="S49" s="36">
        <f t="shared" si="0"/>
        <v>4072187</v>
      </c>
      <c r="T49" s="2"/>
      <c r="U49" s="2">
        <v>228261</v>
      </c>
      <c r="V49" s="2"/>
      <c r="W49" s="2"/>
      <c r="X49" s="2">
        <f>'St of Net Assets'!O50-U49</f>
        <v>0</v>
      </c>
    </row>
    <row r="50" spans="1:26">
      <c r="A50" s="13" t="s">
        <v>387</v>
      </c>
      <c r="C50" s="19" t="s">
        <v>169</v>
      </c>
      <c r="E50" s="19">
        <v>51532</v>
      </c>
      <c r="G50" s="2">
        <v>405000</v>
      </c>
      <c r="H50" s="2"/>
      <c r="I50" s="2">
        <v>23912</v>
      </c>
      <c r="J50" s="2"/>
      <c r="K50" s="2">
        <v>0</v>
      </c>
      <c r="L50" s="2"/>
      <c r="M50" s="2">
        <v>3379995</v>
      </c>
      <c r="N50" s="2"/>
      <c r="O50" s="2">
        <v>617567</v>
      </c>
      <c r="P50" s="2"/>
      <c r="Q50" s="2">
        <v>0</v>
      </c>
      <c r="R50" s="2"/>
      <c r="S50" s="36">
        <f t="shared" si="0"/>
        <v>4426474</v>
      </c>
      <c r="T50" s="2"/>
      <c r="U50" s="2">
        <v>557524</v>
      </c>
      <c r="V50" s="2"/>
      <c r="W50" s="2"/>
      <c r="X50" s="2">
        <f>'St of Net Assets'!O51-U50</f>
        <v>0</v>
      </c>
    </row>
    <row r="51" spans="1:26">
      <c r="A51" s="13" t="s">
        <v>289</v>
      </c>
      <c r="C51" s="19" t="s">
        <v>248</v>
      </c>
      <c r="E51" s="19">
        <v>62026</v>
      </c>
      <c r="G51" s="2">
        <v>0</v>
      </c>
      <c r="H51" s="2"/>
      <c r="I51" s="2">
        <v>0</v>
      </c>
      <c r="J51" s="2"/>
      <c r="K51" s="2">
        <v>0</v>
      </c>
      <c r="L51" s="2"/>
      <c r="M51" s="2">
        <v>0</v>
      </c>
      <c r="N51" s="2"/>
      <c r="O51" s="2">
        <v>830478</v>
      </c>
      <c r="P51" s="2"/>
      <c r="Q51" s="2">
        <v>0</v>
      </c>
      <c r="R51" s="2"/>
      <c r="S51" s="36">
        <f t="shared" si="0"/>
        <v>830478</v>
      </c>
      <c r="T51" s="2"/>
      <c r="U51" s="2">
        <v>54149</v>
      </c>
      <c r="V51" s="2"/>
      <c r="W51" s="2"/>
      <c r="X51" s="2">
        <f>'St of Net Assets'!O52-U51</f>
        <v>0</v>
      </c>
    </row>
    <row r="52" spans="1:26">
      <c r="A52" s="13" t="s">
        <v>398</v>
      </c>
      <c r="C52" s="19" t="s">
        <v>282</v>
      </c>
      <c r="G52" s="2">
        <f>6055000+112936</f>
        <v>6167936</v>
      </c>
      <c r="H52" s="2"/>
      <c r="I52" s="2">
        <v>0</v>
      </c>
      <c r="J52" s="2"/>
      <c r="K52" s="2">
        <v>0</v>
      </c>
      <c r="L52" s="2"/>
      <c r="M52" s="2">
        <v>65524</v>
      </c>
      <c r="N52" s="2"/>
      <c r="O52" s="2">
        <v>490507</v>
      </c>
      <c r="P52" s="2"/>
      <c r="Q52" s="2">
        <v>0</v>
      </c>
      <c r="R52" s="2"/>
      <c r="S52" s="36">
        <f t="shared" si="0"/>
        <v>6723967</v>
      </c>
      <c r="T52" s="2"/>
      <c r="U52" s="2">
        <v>665197</v>
      </c>
      <c r="V52" s="2"/>
      <c r="W52" s="2"/>
      <c r="X52" s="2">
        <f>'St of Net Assets'!O53-U52</f>
        <v>0</v>
      </c>
      <c r="Z52" s="18" t="s">
        <v>407</v>
      </c>
    </row>
    <row r="53" spans="1:26" s="60" customFormat="1">
      <c r="A53" s="13" t="s">
        <v>423</v>
      </c>
      <c r="C53" s="60" t="s">
        <v>157</v>
      </c>
      <c r="E53" s="60">
        <v>51607</v>
      </c>
      <c r="G53" s="13">
        <v>0</v>
      </c>
      <c r="H53" s="13"/>
      <c r="I53" s="13">
        <v>0</v>
      </c>
      <c r="J53" s="13"/>
      <c r="K53" s="13">
        <v>0</v>
      </c>
      <c r="L53" s="13"/>
      <c r="M53" s="13">
        <v>0</v>
      </c>
      <c r="N53" s="13"/>
      <c r="O53" s="13">
        <f>509145+6056</f>
        <v>515201</v>
      </c>
      <c r="P53" s="13"/>
      <c r="Q53" s="13">
        <v>0</v>
      </c>
      <c r="R53" s="13"/>
      <c r="S53" s="64">
        <f t="shared" si="0"/>
        <v>515201</v>
      </c>
      <c r="T53" s="13"/>
      <c r="U53" s="13">
        <f>77564+4995</f>
        <v>82559</v>
      </c>
      <c r="V53" s="13"/>
      <c r="W53" s="13"/>
      <c r="X53" s="13">
        <f>'St of Net Assets'!O54-U53</f>
        <v>0</v>
      </c>
    </row>
    <row r="54" spans="1:26" s="60" customFormat="1">
      <c r="A54" s="13" t="s">
        <v>284</v>
      </c>
      <c r="C54" s="60" t="s">
        <v>285</v>
      </c>
      <c r="E54" s="60">
        <v>65268</v>
      </c>
      <c r="G54" s="13">
        <v>132079</v>
      </c>
      <c r="H54" s="13"/>
      <c r="I54" s="13">
        <v>0</v>
      </c>
      <c r="J54" s="13"/>
      <c r="K54" s="13">
        <v>0</v>
      </c>
      <c r="L54" s="13"/>
      <c r="M54" s="13">
        <f>81399+37025</f>
        <v>118424</v>
      </c>
      <c r="N54" s="13"/>
      <c r="O54" s="13">
        <f>333457+63310</f>
        <v>396767</v>
      </c>
      <c r="P54" s="13"/>
      <c r="Q54" s="13">
        <v>0</v>
      </c>
      <c r="R54" s="13"/>
      <c r="S54" s="64">
        <f t="shared" si="0"/>
        <v>647270</v>
      </c>
      <c r="T54" s="13"/>
      <c r="U54" s="13">
        <f>149322+13748</f>
        <v>163070</v>
      </c>
      <c r="V54" s="13"/>
      <c r="W54" s="13"/>
      <c r="X54" s="13">
        <f>'St of Net Assets'!O55-U54</f>
        <v>0</v>
      </c>
    </row>
    <row r="55" spans="1:26" s="60" customFormat="1">
      <c r="A55" s="13" t="s">
        <v>342</v>
      </c>
      <c r="C55" s="60" t="s">
        <v>252</v>
      </c>
      <c r="E55" s="60">
        <v>51631</v>
      </c>
      <c r="G55" s="13">
        <v>0</v>
      </c>
      <c r="H55" s="13"/>
      <c r="I55" s="13">
        <v>0</v>
      </c>
      <c r="J55" s="13"/>
      <c r="K55" s="13">
        <v>0</v>
      </c>
      <c r="L55" s="13"/>
      <c r="M55" s="13">
        <v>5895000</v>
      </c>
      <c r="N55" s="13"/>
      <c r="O55" s="13">
        <f>1506642+120400</f>
        <v>1627042</v>
      </c>
      <c r="P55" s="13"/>
      <c r="Q55" s="13">
        <v>0</v>
      </c>
      <c r="R55" s="13"/>
      <c r="S55" s="64">
        <f t="shared" si="0"/>
        <v>7522042</v>
      </c>
      <c r="T55" s="13"/>
      <c r="U55" s="13">
        <f>384238+34811</f>
        <v>419049</v>
      </c>
      <c r="V55" s="13"/>
      <c r="W55" s="13"/>
      <c r="X55" s="13">
        <f>'St of Net Assets'!O56-U55</f>
        <v>0</v>
      </c>
    </row>
    <row r="56" spans="1:26">
      <c r="A56" s="13" t="s">
        <v>270</v>
      </c>
      <c r="C56" s="19" t="s">
        <v>171</v>
      </c>
      <c r="E56" s="19">
        <v>62802</v>
      </c>
      <c r="G56" s="2">
        <v>0</v>
      </c>
      <c r="H56" s="2"/>
      <c r="I56" s="2">
        <v>58455</v>
      </c>
      <c r="J56" s="2"/>
      <c r="K56" s="2">
        <v>0</v>
      </c>
      <c r="L56" s="2"/>
      <c r="M56" s="2">
        <v>0</v>
      </c>
      <c r="N56" s="2"/>
      <c r="O56" s="2">
        <v>620134</v>
      </c>
      <c r="P56" s="2"/>
      <c r="Q56" s="2">
        <v>0</v>
      </c>
      <c r="R56" s="2"/>
      <c r="S56" s="36">
        <f t="shared" si="0"/>
        <v>678589</v>
      </c>
      <c r="T56" s="2"/>
      <c r="U56" s="2">
        <v>161106</v>
      </c>
      <c r="V56" s="2"/>
      <c r="W56" s="2"/>
      <c r="X56" s="2">
        <f>'St of Net Assets'!O57-U56</f>
        <v>0</v>
      </c>
    </row>
    <row r="57" spans="1:26">
      <c r="A57" s="13" t="s">
        <v>287</v>
      </c>
      <c r="C57" s="19" t="s">
        <v>220</v>
      </c>
      <c r="E57" s="19">
        <v>62125</v>
      </c>
      <c r="G57" s="2">
        <v>0</v>
      </c>
      <c r="H57" s="2"/>
      <c r="I57" s="2">
        <v>0</v>
      </c>
      <c r="J57" s="2"/>
      <c r="K57" s="2">
        <v>0</v>
      </c>
      <c r="L57" s="2"/>
      <c r="M57" s="2">
        <v>0</v>
      </c>
      <c r="N57" s="2"/>
      <c r="O57" s="2">
        <v>1398063</v>
      </c>
      <c r="P57" s="2"/>
      <c r="Q57" s="2">
        <v>0</v>
      </c>
      <c r="R57" s="2"/>
      <c r="S57" s="36">
        <f t="shared" si="0"/>
        <v>1398063</v>
      </c>
      <c r="T57" s="2"/>
      <c r="U57" s="2">
        <v>80400</v>
      </c>
      <c r="V57" s="2"/>
      <c r="W57" s="2"/>
      <c r="X57" s="2">
        <f>'St of Net Assets'!O58-U57</f>
        <v>0</v>
      </c>
    </row>
    <row r="58" spans="1:26">
      <c r="A58" s="13" t="s">
        <v>343</v>
      </c>
      <c r="C58" s="19" t="s">
        <v>240</v>
      </c>
      <c r="E58" s="19">
        <v>51458</v>
      </c>
      <c r="G58" s="2">
        <v>0</v>
      </c>
      <c r="H58" s="2"/>
      <c r="I58" s="2">
        <v>0</v>
      </c>
      <c r="J58" s="2"/>
      <c r="K58" s="2">
        <v>0</v>
      </c>
      <c r="L58" s="2"/>
      <c r="M58" s="2">
        <v>0</v>
      </c>
      <c r="N58" s="2"/>
      <c r="O58" s="2">
        <v>989495</v>
      </c>
      <c r="P58" s="2"/>
      <c r="Q58" s="2">
        <v>0</v>
      </c>
      <c r="R58" s="2"/>
      <c r="S58" s="36">
        <f t="shared" si="0"/>
        <v>989495</v>
      </c>
      <c r="T58" s="2"/>
      <c r="U58" s="2">
        <v>101162</v>
      </c>
      <c r="V58" s="2"/>
      <c r="W58" s="2"/>
      <c r="X58" s="2">
        <f>'St of Net Assets'!O59-U58</f>
        <v>0</v>
      </c>
    </row>
    <row r="59" spans="1:26">
      <c r="A59" s="13" t="s">
        <v>344</v>
      </c>
      <c r="C59" s="19" t="s">
        <v>256</v>
      </c>
      <c r="E59" s="19">
        <v>51672</v>
      </c>
      <c r="G59" s="2">
        <v>0</v>
      </c>
      <c r="H59" s="2"/>
      <c r="I59" s="2">
        <v>0</v>
      </c>
      <c r="J59" s="2"/>
      <c r="K59" s="2">
        <v>0</v>
      </c>
      <c r="L59" s="2"/>
      <c r="M59" s="2">
        <v>146759</v>
      </c>
      <c r="N59" s="2"/>
      <c r="O59" s="2">
        <v>503438</v>
      </c>
      <c r="P59" s="2"/>
      <c r="Q59" s="2">
        <v>0</v>
      </c>
      <c r="R59" s="2"/>
      <c r="S59" s="36">
        <f t="shared" si="0"/>
        <v>650197</v>
      </c>
      <c r="T59" s="2"/>
      <c r="U59" s="2">
        <v>105571</v>
      </c>
      <c r="V59" s="2"/>
      <c r="W59" s="2"/>
      <c r="X59" s="2">
        <f>'St of Net Assets'!O60-U59</f>
        <v>0</v>
      </c>
    </row>
    <row r="60" spans="1:26">
      <c r="A60" s="13" t="s">
        <v>291</v>
      </c>
      <c r="C60" s="19" t="s">
        <v>258</v>
      </c>
      <c r="E60" s="19">
        <v>51474</v>
      </c>
      <c r="G60" s="2">
        <f>7000000+56243</f>
        <v>7056243</v>
      </c>
      <c r="H60" s="2"/>
      <c r="I60" s="2">
        <v>0</v>
      </c>
      <c r="J60" s="2"/>
      <c r="K60" s="2">
        <v>0</v>
      </c>
      <c r="L60" s="2"/>
      <c r="M60" s="2">
        <v>337766</v>
      </c>
      <c r="N60" s="2"/>
      <c r="O60" s="2">
        <v>519086</v>
      </c>
      <c r="P60" s="2"/>
      <c r="Q60" s="2">
        <v>0</v>
      </c>
      <c r="R60" s="2"/>
      <c r="S60" s="36">
        <f t="shared" si="0"/>
        <v>7913095</v>
      </c>
      <c r="T60" s="2"/>
      <c r="U60" s="2">
        <v>822707</v>
      </c>
      <c r="V60" s="2"/>
      <c r="W60" s="2"/>
      <c r="X60" s="2">
        <f>'St of Net Assets'!O61-U60</f>
        <v>0</v>
      </c>
    </row>
    <row r="61" spans="1:26">
      <c r="A61" s="13" t="s">
        <v>372</v>
      </c>
      <c r="C61" s="19" t="s">
        <v>260</v>
      </c>
      <c r="E61" s="19">
        <v>51698</v>
      </c>
      <c r="G61" s="2">
        <v>1225000</v>
      </c>
      <c r="H61" s="2"/>
      <c r="I61" s="2">
        <v>0</v>
      </c>
      <c r="J61" s="2"/>
      <c r="K61" s="2">
        <v>370000</v>
      </c>
      <c r="L61" s="2"/>
      <c r="M61" s="2">
        <f>3346+1105906</f>
        <v>1109252</v>
      </c>
      <c r="N61" s="2"/>
      <c r="O61" s="2">
        <f>439647+100993</f>
        <v>540640</v>
      </c>
      <c r="P61" s="2"/>
      <c r="Q61" s="2">
        <v>0</v>
      </c>
      <c r="R61" s="2"/>
      <c r="S61" s="36">
        <f t="shared" si="0"/>
        <v>3244892</v>
      </c>
      <c r="T61" s="2"/>
      <c r="U61" s="2">
        <f>105709+25819</f>
        <v>131528</v>
      </c>
      <c r="V61" s="2"/>
      <c r="W61" s="2"/>
      <c r="X61" s="2">
        <f>'St of Net Assets'!O62-U61</f>
        <v>0</v>
      </c>
    </row>
    <row r="62" spans="1:26">
      <c r="A62" s="2" t="s">
        <v>345</v>
      </c>
      <c r="C62" s="19" t="s">
        <v>262</v>
      </c>
      <c r="E62" s="19">
        <v>51714</v>
      </c>
      <c r="G62" s="2">
        <v>0</v>
      </c>
      <c r="H62" s="2"/>
      <c r="I62" s="2">
        <v>0</v>
      </c>
      <c r="J62" s="2"/>
      <c r="K62" s="2">
        <v>0</v>
      </c>
      <c r="L62" s="2"/>
      <c r="M62" s="2">
        <v>9120000</v>
      </c>
      <c r="N62" s="2"/>
      <c r="O62" s="2">
        <f>839312+50504</f>
        <v>889816</v>
      </c>
      <c r="P62" s="2"/>
      <c r="Q62" s="2">
        <v>0</v>
      </c>
      <c r="R62" s="2"/>
      <c r="S62" s="36">
        <f t="shared" si="0"/>
        <v>10009816</v>
      </c>
      <c r="T62" s="2"/>
      <c r="U62" s="2">
        <v>953970</v>
      </c>
      <c r="V62" s="2"/>
      <c r="W62" s="2"/>
      <c r="X62" s="2">
        <f>'St of Net Assets'!O63-U62</f>
        <v>0</v>
      </c>
    </row>
    <row r="63" spans="1:26">
      <c r="A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6"/>
      <c r="T63" s="2"/>
      <c r="U63" s="2"/>
      <c r="V63" s="2"/>
      <c r="W63" s="2"/>
      <c r="X63" s="2"/>
    </row>
    <row r="64" spans="1:26">
      <c r="A64" s="13"/>
      <c r="C64" s="13"/>
      <c r="U64" s="57" t="s">
        <v>348</v>
      </c>
      <c r="X64" s="2"/>
    </row>
    <row r="65" spans="1:38">
      <c r="A65" s="56" t="s">
        <v>347</v>
      </c>
      <c r="X65" s="2"/>
    </row>
    <row r="66" spans="1:38" s="81" customFormat="1" hidden="1">
      <c r="A66" s="13" t="s">
        <v>415</v>
      </c>
      <c r="B66" s="13"/>
      <c r="C66" s="13" t="s">
        <v>365</v>
      </c>
      <c r="E66" s="89">
        <v>45849</v>
      </c>
      <c r="G66" s="81">
        <v>0</v>
      </c>
      <c r="I66" s="81">
        <v>0</v>
      </c>
      <c r="K66" s="81">
        <v>0</v>
      </c>
      <c r="M66" s="81">
        <v>0</v>
      </c>
      <c r="O66" s="81">
        <v>0</v>
      </c>
      <c r="Q66" s="81">
        <v>0</v>
      </c>
      <c r="S66" s="82">
        <f>SUM(G66:R66)</f>
        <v>0</v>
      </c>
      <c r="U66" s="81">
        <v>0</v>
      </c>
      <c r="X66" s="81">
        <f>'St of Net Assets'!O67-U66</f>
        <v>0</v>
      </c>
      <c r="Z66" s="60" t="s">
        <v>400</v>
      </c>
    </row>
    <row r="67" spans="1:38" s="81" customFormat="1" hidden="1">
      <c r="A67" s="13" t="s">
        <v>416</v>
      </c>
      <c r="B67" s="13"/>
      <c r="C67" s="13" t="s">
        <v>156</v>
      </c>
      <c r="E67" s="89"/>
      <c r="G67" s="13">
        <v>0</v>
      </c>
      <c r="H67" s="13"/>
      <c r="I67" s="13">
        <v>0</v>
      </c>
      <c r="J67" s="13"/>
      <c r="K67" s="13">
        <v>0</v>
      </c>
      <c r="L67" s="13"/>
      <c r="M67" s="13">
        <v>0</v>
      </c>
      <c r="N67" s="13"/>
      <c r="O67" s="13">
        <v>0</v>
      </c>
      <c r="P67" s="13"/>
      <c r="Q67" s="13">
        <v>0</v>
      </c>
      <c r="R67" s="13"/>
      <c r="S67" s="64">
        <v>0</v>
      </c>
      <c r="T67" s="13"/>
      <c r="U67" s="13">
        <v>0</v>
      </c>
      <c r="V67" s="13"/>
      <c r="W67" s="13"/>
      <c r="X67" s="13">
        <f>'St of Net Assets'!O68-U67</f>
        <v>0</v>
      </c>
      <c r="Y67" s="60"/>
      <c r="Z67" s="60" t="s">
        <v>400</v>
      </c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 s="60" customFormat="1">
      <c r="A68" s="60" t="s">
        <v>161</v>
      </c>
      <c r="C68" s="60" t="s">
        <v>157</v>
      </c>
      <c r="E68" s="60">
        <v>135145</v>
      </c>
      <c r="G68" s="81">
        <v>0</v>
      </c>
      <c r="H68" s="81"/>
      <c r="I68" s="81">
        <v>0</v>
      </c>
      <c r="J68" s="81"/>
      <c r="K68" s="81">
        <v>0</v>
      </c>
      <c r="L68" s="81"/>
      <c r="M68" s="81">
        <v>0</v>
      </c>
      <c r="N68" s="81"/>
      <c r="O68" s="81">
        <v>124391</v>
      </c>
      <c r="P68" s="81"/>
      <c r="Q68" s="81">
        <v>0</v>
      </c>
      <c r="R68" s="81"/>
      <c r="S68" s="82">
        <f>SUM(G68:R68)</f>
        <v>124391</v>
      </c>
      <c r="T68" s="81"/>
      <c r="U68" s="81">
        <v>12046</v>
      </c>
      <c r="V68" s="81"/>
      <c r="W68" s="81"/>
      <c r="X68" s="81">
        <f>'St of Net Assets'!O69-U68</f>
        <v>0</v>
      </c>
      <c r="Z68" s="13"/>
    </row>
    <row r="69" spans="1:38" s="60" customFormat="1" hidden="1">
      <c r="A69" s="13" t="s">
        <v>417</v>
      </c>
      <c r="B69" s="13"/>
      <c r="C69" s="13" t="s">
        <v>369</v>
      </c>
      <c r="G69" s="13">
        <v>0</v>
      </c>
      <c r="H69" s="13"/>
      <c r="I69" s="13">
        <v>0</v>
      </c>
      <c r="J69" s="13"/>
      <c r="K69" s="13">
        <v>0</v>
      </c>
      <c r="L69" s="13"/>
      <c r="M69" s="13">
        <v>0</v>
      </c>
      <c r="N69" s="13"/>
      <c r="O69" s="13">
        <v>0</v>
      </c>
      <c r="P69" s="13"/>
      <c r="Q69" s="13">
        <v>0</v>
      </c>
      <c r="R69" s="13"/>
      <c r="S69" s="64">
        <f>SUM(G69:R69)</f>
        <v>0</v>
      </c>
      <c r="T69" s="13"/>
      <c r="U69" s="13">
        <v>0</v>
      </c>
      <c r="V69" s="13"/>
      <c r="W69" s="13"/>
      <c r="X69" s="13">
        <f>'St of Net Assets'!O70-U69</f>
        <v>0</v>
      </c>
      <c r="Z69" s="60" t="s">
        <v>400</v>
      </c>
    </row>
    <row r="70" spans="1:38">
      <c r="A70" s="19" t="s">
        <v>163</v>
      </c>
      <c r="C70" s="19" t="s">
        <v>164</v>
      </c>
      <c r="E70" s="19">
        <v>46029</v>
      </c>
      <c r="G70" s="2">
        <v>0</v>
      </c>
      <c r="H70" s="2"/>
      <c r="I70" s="2">
        <v>0</v>
      </c>
      <c r="J70" s="2"/>
      <c r="K70" s="2">
        <v>0</v>
      </c>
      <c r="L70" s="2"/>
      <c r="M70" s="2">
        <v>0</v>
      </c>
      <c r="N70" s="2"/>
      <c r="O70" s="2">
        <v>292675</v>
      </c>
      <c r="P70" s="2"/>
      <c r="Q70" s="2">
        <v>0</v>
      </c>
      <c r="R70" s="2"/>
      <c r="S70" s="36">
        <f>SUM(G70:R70)</f>
        <v>292675</v>
      </c>
      <c r="T70" s="2"/>
      <c r="U70" s="2">
        <v>68834</v>
      </c>
      <c r="V70" s="2"/>
      <c r="W70" s="2"/>
      <c r="X70" s="2">
        <f>'St of Net Assets'!O71-U70</f>
        <v>0</v>
      </c>
    </row>
    <row r="71" spans="1:38">
      <c r="A71" s="19" t="s">
        <v>165</v>
      </c>
      <c r="C71" s="19" t="s">
        <v>159</v>
      </c>
      <c r="E71" s="19">
        <v>46086</v>
      </c>
      <c r="G71" s="2">
        <v>0</v>
      </c>
      <c r="H71" s="2"/>
      <c r="I71" s="2">
        <v>0</v>
      </c>
      <c r="J71" s="2"/>
      <c r="K71" s="2">
        <v>0</v>
      </c>
      <c r="L71" s="2"/>
      <c r="M71" s="2">
        <v>0</v>
      </c>
      <c r="N71" s="2"/>
      <c r="O71" s="2">
        <v>286078</v>
      </c>
      <c r="P71" s="2"/>
      <c r="Q71" s="2">
        <v>0</v>
      </c>
      <c r="R71" s="2"/>
      <c r="S71" s="36">
        <f t="shared" ref="S71:S126" si="1">SUM(G71:R71)</f>
        <v>286078</v>
      </c>
      <c r="T71" s="2"/>
      <c r="U71" s="2">
        <v>39045</v>
      </c>
      <c r="V71" s="2"/>
      <c r="W71" s="2"/>
      <c r="X71" s="2">
        <f>'St of Net Assets'!O72-U71</f>
        <v>0</v>
      </c>
    </row>
    <row r="72" spans="1:38">
      <c r="A72" s="19" t="s">
        <v>168</v>
      </c>
      <c r="C72" s="19" t="s">
        <v>169</v>
      </c>
      <c r="E72" s="19">
        <v>46227</v>
      </c>
      <c r="G72" s="2">
        <v>0</v>
      </c>
      <c r="H72" s="2"/>
      <c r="I72" s="2">
        <v>0</v>
      </c>
      <c r="J72" s="2"/>
      <c r="K72" s="2">
        <v>0</v>
      </c>
      <c r="L72" s="2"/>
      <c r="M72" s="2">
        <v>319719</v>
      </c>
      <c r="N72" s="2"/>
      <c r="O72" s="2">
        <v>152356</v>
      </c>
      <c r="P72" s="2"/>
      <c r="Q72" s="2">
        <v>0</v>
      </c>
      <c r="R72" s="2"/>
      <c r="S72" s="36">
        <f t="shared" si="1"/>
        <v>472075</v>
      </c>
      <c r="T72" s="2"/>
      <c r="U72" s="2">
        <v>107567</v>
      </c>
      <c r="V72" s="2"/>
      <c r="W72" s="2"/>
      <c r="X72" s="2">
        <f>'St of Net Assets'!O73-U72</f>
        <v>0</v>
      </c>
    </row>
    <row r="73" spans="1:38">
      <c r="A73" s="19" t="s">
        <v>170</v>
      </c>
      <c r="C73" s="19" t="s">
        <v>171</v>
      </c>
      <c r="E73" s="19">
        <v>46292</v>
      </c>
      <c r="G73" s="2">
        <v>0</v>
      </c>
      <c r="H73" s="2"/>
      <c r="I73" s="2">
        <v>0</v>
      </c>
      <c r="J73" s="2"/>
      <c r="K73" s="2">
        <v>0</v>
      </c>
      <c r="L73" s="2"/>
      <c r="M73" s="2">
        <v>0</v>
      </c>
      <c r="N73" s="2"/>
      <c r="O73" s="2">
        <v>420273</v>
      </c>
      <c r="P73" s="2"/>
      <c r="Q73" s="2">
        <v>0</v>
      </c>
      <c r="R73" s="2"/>
      <c r="S73" s="36">
        <f t="shared" si="1"/>
        <v>420273</v>
      </c>
      <c r="T73" s="2"/>
      <c r="U73" s="2">
        <v>30420</v>
      </c>
      <c r="V73" s="2"/>
      <c r="W73" s="2"/>
      <c r="X73" s="2">
        <f>'St of Net Assets'!O74-U73</f>
        <v>0</v>
      </c>
    </row>
    <row r="74" spans="1:38" s="60" customFormat="1" hidden="1">
      <c r="A74" s="80" t="s">
        <v>405</v>
      </c>
      <c r="C74" s="60" t="s">
        <v>173</v>
      </c>
      <c r="E74" s="60">
        <v>46375</v>
      </c>
      <c r="G74" s="13">
        <v>0</v>
      </c>
      <c r="H74" s="13"/>
      <c r="I74" s="13">
        <v>0</v>
      </c>
      <c r="J74" s="13"/>
      <c r="K74" s="13"/>
      <c r="L74" s="13"/>
      <c r="M74" s="13"/>
      <c r="N74" s="13"/>
      <c r="O74" s="13"/>
      <c r="P74" s="13"/>
      <c r="Q74" s="13"/>
      <c r="R74" s="13"/>
      <c r="S74" s="64">
        <f t="shared" si="1"/>
        <v>0</v>
      </c>
      <c r="T74" s="13"/>
      <c r="U74" s="13"/>
      <c r="V74" s="13"/>
      <c r="W74" s="13"/>
      <c r="X74" s="13">
        <f>'St of Net Assets'!O75-U74</f>
        <v>0</v>
      </c>
      <c r="Z74" s="80" t="s">
        <v>406</v>
      </c>
    </row>
    <row r="75" spans="1:38">
      <c r="A75" s="19" t="s">
        <v>174</v>
      </c>
      <c r="C75" s="19" t="s">
        <v>175</v>
      </c>
      <c r="E75" s="19">
        <v>46417</v>
      </c>
      <c r="G75" s="2">
        <v>0</v>
      </c>
      <c r="H75" s="2"/>
      <c r="I75" s="2">
        <v>444914</v>
      </c>
      <c r="J75" s="2"/>
      <c r="K75" s="2">
        <v>0</v>
      </c>
      <c r="L75" s="2"/>
      <c r="M75" s="2">
        <v>0</v>
      </c>
      <c r="N75" s="2"/>
      <c r="O75" s="2">
        <v>507541</v>
      </c>
      <c r="P75" s="2"/>
      <c r="Q75" s="2">
        <v>0</v>
      </c>
      <c r="R75" s="2"/>
      <c r="S75" s="36">
        <f t="shared" si="1"/>
        <v>952455</v>
      </c>
      <c r="T75" s="2"/>
      <c r="U75" s="2">
        <v>145198</v>
      </c>
      <c r="V75" s="2"/>
      <c r="W75" s="2"/>
      <c r="X75" s="2">
        <f>'St of Net Assets'!O76-U75</f>
        <v>0</v>
      </c>
    </row>
    <row r="76" spans="1:38">
      <c r="A76" s="19" t="s">
        <v>176</v>
      </c>
      <c r="C76" s="19" t="s">
        <v>177</v>
      </c>
      <c r="E76" s="19">
        <v>46532</v>
      </c>
      <c r="G76" s="2">
        <v>0</v>
      </c>
      <c r="H76" s="2"/>
      <c r="I76" s="2">
        <v>0</v>
      </c>
      <c r="J76" s="2"/>
      <c r="K76" s="2">
        <v>0</v>
      </c>
      <c r="L76" s="2"/>
      <c r="M76" s="2">
        <v>1805000</v>
      </c>
      <c r="N76" s="2"/>
      <c r="O76" s="2">
        <v>1808473</v>
      </c>
      <c r="P76" s="2"/>
      <c r="Q76" s="2">
        <v>0</v>
      </c>
      <c r="R76" s="2"/>
      <c r="S76" s="36">
        <f t="shared" si="1"/>
        <v>3613473</v>
      </c>
      <c r="T76" s="2"/>
      <c r="U76" s="2">
        <v>1487374</v>
      </c>
      <c r="V76" s="2"/>
      <c r="W76" s="2"/>
      <c r="X76" s="2">
        <f>'St of Net Assets'!O77-U76</f>
        <v>0</v>
      </c>
    </row>
    <row r="77" spans="1:38" hidden="1">
      <c r="A77" s="19" t="s">
        <v>395</v>
      </c>
      <c r="C77" s="19" t="s">
        <v>179</v>
      </c>
      <c r="E77" s="19">
        <v>46615</v>
      </c>
      <c r="G77" s="2">
        <v>0</v>
      </c>
      <c r="H77" s="2"/>
      <c r="I77" s="2">
        <v>0</v>
      </c>
      <c r="J77" s="2"/>
      <c r="K77" s="2">
        <v>0</v>
      </c>
      <c r="L77" s="2"/>
      <c r="M77" s="2">
        <v>0</v>
      </c>
      <c r="N77" s="2"/>
      <c r="O77" s="2">
        <v>0</v>
      </c>
      <c r="P77" s="2"/>
      <c r="Q77" s="2">
        <v>0</v>
      </c>
      <c r="R77" s="2"/>
      <c r="S77" s="36">
        <f t="shared" si="1"/>
        <v>0</v>
      </c>
      <c r="T77" s="2"/>
      <c r="U77" s="2">
        <v>0</v>
      </c>
      <c r="V77" s="2"/>
      <c r="W77" s="2"/>
      <c r="X77" s="2">
        <f>'St of Net Assets'!O78-U77</f>
        <v>0</v>
      </c>
      <c r="Z77" s="63" t="s">
        <v>373</v>
      </c>
    </row>
    <row r="78" spans="1:38" s="60" customFormat="1" hidden="1">
      <c r="A78" s="80" t="s">
        <v>180</v>
      </c>
      <c r="C78" s="60" t="s">
        <v>181</v>
      </c>
      <c r="E78" s="60">
        <v>46730</v>
      </c>
      <c r="G78" s="13">
        <v>0</v>
      </c>
      <c r="H78" s="13"/>
      <c r="I78" s="13">
        <v>0</v>
      </c>
      <c r="J78" s="13"/>
      <c r="K78" s="13"/>
      <c r="L78" s="13"/>
      <c r="M78" s="13"/>
      <c r="N78" s="13"/>
      <c r="O78" s="13"/>
      <c r="P78" s="13"/>
      <c r="Q78" s="13"/>
      <c r="R78" s="13"/>
      <c r="S78" s="64">
        <f t="shared" si="1"/>
        <v>0</v>
      </c>
      <c r="T78" s="13"/>
      <c r="U78" s="13"/>
      <c r="V78" s="13"/>
      <c r="W78" s="13"/>
      <c r="X78" s="13">
        <f>'St of Net Assets'!O79-U78</f>
        <v>0</v>
      </c>
      <c r="Z78" s="80" t="s">
        <v>410</v>
      </c>
    </row>
    <row r="79" spans="1:38" s="60" customFormat="1" hidden="1">
      <c r="A79" s="80" t="s">
        <v>412</v>
      </c>
      <c r="C79" s="60" t="s">
        <v>183</v>
      </c>
      <c r="E79" s="60">
        <v>125690</v>
      </c>
      <c r="G79" s="13">
        <v>0</v>
      </c>
      <c r="H79" s="13"/>
      <c r="I79" s="13">
        <v>0</v>
      </c>
      <c r="J79" s="13"/>
      <c r="K79" s="13"/>
      <c r="L79" s="13"/>
      <c r="M79" s="13"/>
      <c r="N79" s="13"/>
      <c r="O79" s="13"/>
      <c r="P79" s="13"/>
      <c r="Q79" s="13"/>
      <c r="R79" s="13"/>
      <c r="S79" s="64">
        <f t="shared" si="1"/>
        <v>0</v>
      </c>
      <c r="T79" s="13"/>
      <c r="U79" s="13"/>
      <c r="V79" s="13"/>
      <c r="W79" s="13"/>
      <c r="X79" s="13">
        <f>'St of Net Assets'!O80-U79</f>
        <v>0</v>
      </c>
      <c r="Z79" s="80" t="s">
        <v>414</v>
      </c>
    </row>
    <row r="80" spans="1:38">
      <c r="A80" s="19" t="s">
        <v>184</v>
      </c>
      <c r="C80" s="19" t="s">
        <v>185</v>
      </c>
      <c r="E80" s="19">
        <v>46839</v>
      </c>
      <c r="G80" s="2">
        <v>0</v>
      </c>
      <c r="H80" s="2"/>
      <c r="I80" s="2">
        <v>0</v>
      </c>
      <c r="J80" s="2"/>
      <c r="K80" s="2">
        <v>0</v>
      </c>
      <c r="L80" s="2"/>
      <c r="M80" s="2">
        <v>29532</v>
      </c>
      <c r="N80" s="2"/>
      <c r="O80" s="2">
        <v>387854</v>
      </c>
      <c r="P80" s="2"/>
      <c r="Q80" s="2">
        <v>0</v>
      </c>
      <c r="R80" s="2"/>
      <c r="S80" s="36">
        <f t="shared" si="1"/>
        <v>417386</v>
      </c>
      <c r="T80" s="2"/>
      <c r="U80" s="2">
        <v>93470</v>
      </c>
      <c r="V80" s="2"/>
      <c r="W80" s="2"/>
      <c r="X80" s="2">
        <f>'St of Net Assets'!O81-U80</f>
        <v>0</v>
      </c>
    </row>
    <row r="81" spans="1:26">
      <c r="A81" s="2" t="s">
        <v>433</v>
      </c>
      <c r="C81" s="19" t="s">
        <v>186</v>
      </c>
      <c r="E81" s="19">
        <v>46938</v>
      </c>
      <c r="G81" s="2">
        <v>0</v>
      </c>
      <c r="H81" s="2"/>
      <c r="I81" s="2">
        <v>3153000</v>
      </c>
      <c r="J81" s="2"/>
      <c r="K81" s="2">
        <v>0</v>
      </c>
      <c r="L81" s="2"/>
      <c r="M81" s="2">
        <v>159866</v>
      </c>
      <c r="N81" s="2"/>
      <c r="O81" s="2">
        <v>1901139</v>
      </c>
      <c r="P81" s="2"/>
      <c r="Q81" s="2">
        <v>0</v>
      </c>
      <c r="R81" s="2"/>
      <c r="S81" s="36">
        <f t="shared" si="1"/>
        <v>5214005</v>
      </c>
      <c r="T81" s="2"/>
      <c r="U81" s="2">
        <v>914324</v>
      </c>
      <c r="V81" s="2"/>
      <c r="W81" s="2"/>
      <c r="X81" s="2">
        <f>'St of Net Assets'!O82-U81</f>
        <v>0</v>
      </c>
      <c r="Z81" s="60" t="s">
        <v>409</v>
      </c>
    </row>
    <row r="82" spans="1:26">
      <c r="A82" s="19" t="s">
        <v>188</v>
      </c>
      <c r="C82" s="19" t="s">
        <v>189</v>
      </c>
      <c r="E82" s="19">
        <v>125682</v>
      </c>
      <c r="G82" s="2">
        <v>0</v>
      </c>
      <c r="H82" s="2"/>
      <c r="I82" s="2">
        <v>0</v>
      </c>
      <c r="J82" s="2"/>
      <c r="K82" s="2">
        <v>0</v>
      </c>
      <c r="L82" s="2"/>
      <c r="M82" s="2">
        <v>0</v>
      </c>
      <c r="N82" s="2"/>
      <c r="O82" s="2">
        <v>48507</v>
      </c>
      <c r="P82" s="2"/>
      <c r="Q82" s="2">
        <v>0</v>
      </c>
      <c r="R82" s="2"/>
      <c r="S82" s="36">
        <f t="shared" si="1"/>
        <v>48507</v>
      </c>
      <c r="T82" s="2"/>
      <c r="U82" s="2">
        <v>1015</v>
      </c>
      <c r="V82" s="2"/>
      <c r="W82" s="2"/>
      <c r="X82" s="2">
        <f>'St of Net Assets'!O83-U82</f>
        <v>0</v>
      </c>
      <c r="Z82" s="60"/>
    </row>
    <row r="83" spans="1:26" hidden="1">
      <c r="A83" s="72" t="s">
        <v>393</v>
      </c>
      <c r="C83" s="19" t="s">
        <v>191</v>
      </c>
      <c r="E83" s="19">
        <v>47159</v>
      </c>
      <c r="G83" s="2">
        <v>0</v>
      </c>
      <c r="H83" s="2"/>
      <c r="I83" s="2">
        <v>0</v>
      </c>
      <c r="J83" s="2"/>
      <c r="K83" s="2"/>
      <c r="L83" s="2"/>
      <c r="M83" s="2"/>
      <c r="N83" s="2"/>
      <c r="O83" s="2"/>
      <c r="P83" s="13"/>
      <c r="Q83" s="2"/>
      <c r="R83" s="13"/>
      <c r="S83" s="64">
        <f t="shared" si="1"/>
        <v>0</v>
      </c>
      <c r="T83" s="13"/>
      <c r="U83" s="2"/>
      <c r="V83" s="2"/>
      <c r="W83" s="2"/>
      <c r="X83" s="2">
        <f>'St of Net Assets'!O84-U83</f>
        <v>0</v>
      </c>
      <c r="Z83" s="72" t="s">
        <v>394</v>
      </c>
    </row>
    <row r="84" spans="1:26">
      <c r="A84" s="19" t="s">
        <v>192</v>
      </c>
      <c r="C84" s="19" t="s">
        <v>193</v>
      </c>
      <c r="E84" s="19">
        <v>47233</v>
      </c>
      <c r="G84" s="2">
        <v>0</v>
      </c>
      <c r="H84" s="2"/>
      <c r="I84" s="2">
        <v>0</v>
      </c>
      <c r="J84" s="2"/>
      <c r="K84" s="2">
        <v>0</v>
      </c>
      <c r="L84" s="2"/>
      <c r="M84" s="2">
        <v>181663</v>
      </c>
      <c r="N84" s="2"/>
      <c r="O84" s="2">
        <v>744361</v>
      </c>
      <c r="P84" s="2"/>
      <c r="Q84" s="2">
        <v>0</v>
      </c>
      <c r="R84" s="2"/>
      <c r="S84" s="36">
        <f t="shared" si="1"/>
        <v>926024</v>
      </c>
      <c r="T84" s="2"/>
      <c r="U84" s="2">
        <v>153213</v>
      </c>
      <c r="V84" s="2"/>
      <c r="W84" s="2"/>
      <c r="X84" s="2">
        <f>'St of Net Assets'!O85-U84</f>
        <v>0</v>
      </c>
      <c r="Z84" s="60"/>
    </row>
    <row r="85" spans="1:26">
      <c r="A85" s="19" t="s">
        <v>194</v>
      </c>
      <c r="C85" s="19" t="s">
        <v>195</v>
      </c>
      <c r="E85" s="19">
        <v>47324</v>
      </c>
      <c r="G85" s="2">
        <v>0</v>
      </c>
      <c r="H85" s="2"/>
      <c r="I85" s="2">
        <v>0</v>
      </c>
      <c r="J85" s="2"/>
      <c r="K85" s="2">
        <v>0</v>
      </c>
      <c r="L85" s="2"/>
      <c r="M85" s="2">
        <v>2265000</v>
      </c>
      <c r="N85" s="2"/>
      <c r="O85" s="2">
        <v>3104497</v>
      </c>
      <c r="P85" s="2"/>
      <c r="Q85" s="2">
        <v>0</v>
      </c>
      <c r="R85" s="2"/>
      <c r="S85" s="36">
        <f t="shared" si="1"/>
        <v>5369497</v>
      </c>
      <c r="T85" s="2"/>
      <c r="U85" s="2">
        <v>86202</v>
      </c>
      <c r="V85" s="2"/>
      <c r="W85" s="2"/>
      <c r="X85" s="2">
        <f>'St of Net Assets'!O86-U85</f>
        <v>0</v>
      </c>
      <c r="Z85" s="60"/>
    </row>
    <row r="86" spans="1:26">
      <c r="A86" s="19" t="s">
        <v>196</v>
      </c>
      <c r="C86" s="19" t="s">
        <v>197</v>
      </c>
      <c r="E86" s="19">
        <v>47407</v>
      </c>
      <c r="G86" s="2">
        <v>0</v>
      </c>
      <c r="H86" s="2"/>
      <c r="I86" s="2">
        <v>0</v>
      </c>
      <c r="J86" s="2"/>
      <c r="K86" s="2">
        <v>0</v>
      </c>
      <c r="L86" s="2"/>
      <c r="M86" s="2">
        <v>0</v>
      </c>
      <c r="N86" s="2"/>
      <c r="O86" s="2">
        <v>242214</v>
      </c>
      <c r="P86" s="2"/>
      <c r="Q86" s="2">
        <v>0</v>
      </c>
      <c r="R86" s="2"/>
      <c r="S86" s="36">
        <f t="shared" si="1"/>
        <v>242214</v>
      </c>
      <c r="T86" s="2"/>
      <c r="U86" s="2">
        <v>129594</v>
      </c>
      <c r="V86" s="2"/>
      <c r="W86" s="2"/>
      <c r="X86" s="2">
        <f>'St of Net Assets'!O87-U86</f>
        <v>0</v>
      </c>
    </row>
    <row r="87" spans="1:26">
      <c r="A87" s="19" t="s">
        <v>198</v>
      </c>
      <c r="C87" s="19" t="s">
        <v>23</v>
      </c>
      <c r="E87" s="19">
        <v>47480</v>
      </c>
      <c r="G87" s="2">
        <v>0</v>
      </c>
      <c r="H87" s="2"/>
      <c r="I87" s="2">
        <v>0</v>
      </c>
      <c r="J87" s="2"/>
      <c r="K87" s="2">
        <v>0</v>
      </c>
      <c r="L87" s="2"/>
      <c r="M87" s="2">
        <v>0</v>
      </c>
      <c r="N87" s="2"/>
      <c r="O87" s="2">
        <v>57510</v>
      </c>
      <c r="P87" s="2"/>
      <c r="Q87" s="2">
        <v>0</v>
      </c>
      <c r="R87" s="2"/>
      <c r="S87" s="36">
        <f t="shared" si="1"/>
        <v>57510</v>
      </c>
      <c r="T87" s="2"/>
      <c r="U87" s="2">
        <v>30987</v>
      </c>
      <c r="V87" s="2"/>
      <c r="W87" s="2"/>
      <c r="X87" s="2">
        <f>'St of Net Assets'!O88-U87</f>
        <v>0</v>
      </c>
    </row>
    <row r="88" spans="1:26">
      <c r="A88" s="19" t="s">
        <v>199</v>
      </c>
      <c r="C88" s="19" t="s">
        <v>200</v>
      </c>
      <c r="E88" s="19">
        <v>47779</v>
      </c>
      <c r="G88" s="2">
        <v>0</v>
      </c>
      <c r="H88" s="2"/>
      <c r="I88" s="2">
        <v>0</v>
      </c>
      <c r="J88" s="2"/>
      <c r="K88" s="2">
        <v>0</v>
      </c>
      <c r="L88" s="2"/>
      <c r="M88" s="2">
        <v>720</v>
      </c>
      <c r="N88" s="2"/>
      <c r="O88" s="2">
        <v>203879</v>
      </c>
      <c r="P88" s="2"/>
      <c r="Q88" s="2">
        <v>0</v>
      </c>
      <c r="R88" s="2"/>
      <c r="S88" s="36">
        <f t="shared" si="1"/>
        <v>204599</v>
      </c>
      <c r="T88" s="2"/>
      <c r="U88" s="2">
        <v>78825</v>
      </c>
      <c r="V88" s="2"/>
      <c r="W88" s="2"/>
      <c r="X88" s="2">
        <f>'St of Net Assets'!O89-U88</f>
        <v>0</v>
      </c>
    </row>
    <row r="89" spans="1:26">
      <c r="A89" s="19" t="s">
        <v>201</v>
      </c>
      <c r="C89" s="19" t="s">
        <v>202</v>
      </c>
      <c r="E89" s="19">
        <v>47811</v>
      </c>
      <c r="G89" s="2">
        <v>0</v>
      </c>
      <c r="H89" s="2"/>
      <c r="I89" s="2">
        <v>0</v>
      </c>
      <c r="J89" s="2"/>
      <c r="K89" s="2">
        <v>0</v>
      </c>
      <c r="L89" s="2"/>
      <c r="M89" s="2">
        <v>0</v>
      </c>
      <c r="N89" s="2"/>
      <c r="O89" s="2">
        <v>104768</v>
      </c>
      <c r="P89" s="2"/>
      <c r="Q89" s="2">
        <v>0</v>
      </c>
      <c r="R89" s="2"/>
      <c r="S89" s="36">
        <f t="shared" si="1"/>
        <v>104768</v>
      </c>
      <c r="T89" s="2"/>
      <c r="U89" s="2">
        <v>20954</v>
      </c>
      <c r="V89" s="2"/>
      <c r="W89" s="2"/>
      <c r="X89" s="2">
        <f>'St of Net Assets'!O90-U89</f>
        <v>0</v>
      </c>
    </row>
    <row r="90" spans="1:26">
      <c r="A90" s="19" t="s">
        <v>203</v>
      </c>
      <c r="C90" s="19" t="s">
        <v>158</v>
      </c>
      <c r="E90" s="19">
        <v>47860</v>
      </c>
      <c r="G90" s="2">
        <v>0</v>
      </c>
      <c r="H90" s="2"/>
      <c r="I90" s="2">
        <v>0</v>
      </c>
      <c r="J90" s="2"/>
      <c r="K90" s="2">
        <v>0</v>
      </c>
      <c r="L90" s="2"/>
      <c r="M90" s="2">
        <v>0</v>
      </c>
      <c r="N90" s="2"/>
      <c r="O90" s="2">
        <v>176888</v>
      </c>
      <c r="P90" s="2"/>
      <c r="Q90" s="2">
        <v>0</v>
      </c>
      <c r="R90" s="2"/>
      <c r="S90" s="36">
        <f t="shared" si="1"/>
        <v>176888</v>
      </c>
      <c r="T90" s="2"/>
      <c r="U90" s="2">
        <v>121305</v>
      </c>
      <c r="V90" s="2"/>
      <c r="W90" s="2"/>
      <c r="X90" s="2">
        <f>'St of Net Assets'!O91-U90</f>
        <v>0</v>
      </c>
      <c r="Z90" s="60"/>
    </row>
    <row r="91" spans="1:26">
      <c r="A91" s="19" t="s">
        <v>204</v>
      </c>
      <c r="C91" s="19" t="s">
        <v>205</v>
      </c>
      <c r="E91" s="19">
        <v>47910</v>
      </c>
      <c r="G91" s="2">
        <v>0</v>
      </c>
      <c r="H91" s="2"/>
      <c r="I91" s="2">
        <v>0</v>
      </c>
      <c r="J91" s="2"/>
      <c r="K91" s="2">
        <v>0</v>
      </c>
      <c r="L91" s="2"/>
      <c r="M91" s="2">
        <v>0</v>
      </c>
      <c r="N91" s="2"/>
      <c r="O91" s="2">
        <v>118149</v>
      </c>
      <c r="P91" s="2"/>
      <c r="Q91" s="2">
        <v>0</v>
      </c>
      <c r="R91" s="2"/>
      <c r="S91" s="36">
        <f t="shared" si="1"/>
        <v>118149</v>
      </c>
      <c r="T91" s="2"/>
      <c r="U91" s="2">
        <v>69763</v>
      </c>
      <c r="V91" s="2"/>
      <c r="W91" s="2"/>
      <c r="X91" s="2">
        <f>'St of Net Assets'!O92-U91</f>
        <v>0</v>
      </c>
    </row>
    <row r="92" spans="1:26">
      <c r="A92" s="13" t="s">
        <v>206</v>
      </c>
      <c r="B92" s="13"/>
      <c r="C92" s="13" t="s">
        <v>207</v>
      </c>
      <c r="G92" s="2">
        <v>0</v>
      </c>
      <c r="H92" s="2"/>
      <c r="I92" s="2">
        <v>0</v>
      </c>
      <c r="J92" s="2"/>
      <c r="K92" s="2">
        <v>0</v>
      </c>
      <c r="L92" s="2"/>
      <c r="M92" s="2">
        <v>36988</v>
      </c>
      <c r="N92" s="2"/>
      <c r="O92" s="2">
        <v>291339</v>
      </c>
      <c r="P92" s="2"/>
      <c r="Q92" s="2">
        <v>0</v>
      </c>
      <c r="R92" s="2"/>
      <c r="S92" s="36">
        <f t="shared" si="1"/>
        <v>328327</v>
      </c>
      <c r="T92" s="2"/>
      <c r="U92" s="2">
        <v>129612</v>
      </c>
      <c r="V92" s="2"/>
      <c r="W92" s="2"/>
      <c r="X92" s="2">
        <f>'St of Net Assets'!O93-U92</f>
        <v>0</v>
      </c>
    </row>
    <row r="93" spans="1:26">
      <c r="A93" s="19" t="s">
        <v>208</v>
      </c>
      <c r="C93" s="19" t="s">
        <v>209</v>
      </c>
      <c r="E93" s="19">
        <v>48058</v>
      </c>
      <c r="G93" s="2">
        <v>0</v>
      </c>
      <c r="H93" s="2"/>
      <c r="I93" s="2">
        <v>0</v>
      </c>
      <c r="J93" s="2"/>
      <c r="K93" s="2">
        <v>0</v>
      </c>
      <c r="L93" s="2"/>
      <c r="M93" s="2">
        <v>0</v>
      </c>
      <c r="N93" s="2"/>
      <c r="O93" s="2">
        <v>102147</v>
      </c>
      <c r="P93" s="2"/>
      <c r="Q93" s="2">
        <v>0</v>
      </c>
      <c r="R93" s="2"/>
      <c r="S93" s="36">
        <f t="shared" si="1"/>
        <v>102147</v>
      </c>
      <c r="T93" s="2"/>
      <c r="U93" s="2">
        <v>44431</v>
      </c>
      <c r="V93" s="2"/>
      <c r="W93" s="2"/>
      <c r="X93" s="2">
        <f>'St of Net Assets'!O94-U93</f>
        <v>0</v>
      </c>
    </row>
    <row r="94" spans="1:26">
      <c r="A94" s="19" t="s">
        <v>210</v>
      </c>
      <c r="C94" s="19" t="s">
        <v>154</v>
      </c>
      <c r="E94" s="19">
        <v>48108</v>
      </c>
      <c r="G94" s="2">
        <v>0</v>
      </c>
      <c r="H94" s="2"/>
      <c r="I94" s="2">
        <v>0</v>
      </c>
      <c r="J94" s="2"/>
      <c r="K94" s="2">
        <v>0</v>
      </c>
      <c r="L94" s="2"/>
      <c r="M94" s="2">
        <v>1674</v>
      </c>
      <c r="N94" s="2"/>
      <c r="O94" s="2">
        <v>518377</v>
      </c>
      <c r="P94" s="2"/>
      <c r="Q94" s="2">
        <v>0</v>
      </c>
      <c r="R94" s="2"/>
      <c r="S94" s="36">
        <f t="shared" si="1"/>
        <v>520051</v>
      </c>
      <c r="T94" s="2"/>
      <c r="U94" s="2">
        <v>204473</v>
      </c>
      <c r="V94" s="2"/>
      <c r="W94" s="2"/>
      <c r="X94" s="2">
        <f>'St of Net Assets'!O95-U94</f>
        <v>0</v>
      </c>
    </row>
    <row r="95" spans="1:26">
      <c r="A95" s="19" t="s">
        <v>211</v>
      </c>
      <c r="C95" s="19" t="s">
        <v>212</v>
      </c>
      <c r="E95" s="19">
        <v>48199</v>
      </c>
      <c r="G95" s="2">
        <v>0</v>
      </c>
      <c r="H95" s="2"/>
      <c r="I95" s="2">
        <v>0</v>
      </c>
      <c r="J95" s="2"/>
      <c r="K95" s="2">
        <v>0</v>
      </c>
      <c r="L95" s="2"/>
      <c r="M95" s="2">
        <v>0</v>
      </c>
      <c r="N95" s="2"/>
      <c r="O95" s="2">
        <v>1490019</v>
      </c>
      <c r="P95" s="2"/>
      <c r="Q95" s="2">
        <v>0</v>
      </c>
      <c r="R95" s="2"/>
      <c r="S95" s="36">
        <f t="shared" si="1"/>
        <v>1490019</v>
      </c>
      <c r="T95" s="2"/>
      <c r="U95" s="2">
        <v>524470</v>
      </c>
      <c r="V95" s="2"/>
      <c r="W95" s="2"/>
      <c r="X95" s="2">
        <f>'St of Net Assets'!O96-U95</f>
        <v>0</v>
      </c>
    </row>
    <row r="96" spans="1:26">
      <c r="A96" s="19" t="s">
        <v>166</v>
      </c>
      <c r="C96" s="19" t="s">
        <v>167</v>
      </c>
      <c r="E96" s="19">
        <v>137364</v>
      </c>
      <c r="G96" s="2">
        <v>0</v>
      </c>
      <c r="H96" s="2"/>
      <c r="I96" s="2">
        <v>0</v>
      </c>
      <c r="J96" s="2"/>
      <c r="K96" s="2">
        <v>0</v>
      </c>
      <c r="L96" s="2"/>
      <c r="M96" s="2">
        <v>160863</v>
      </c>
      <c r="N96" s="2"/>
      <c r="O96" s="2">
        <v>504580</v>
      </c>
      <c r="P96" s="2"/>
      <c r="Q96" s="2">
        <v>0</v>
      </c>
      <c r="R96" s="2"/>
      <c r="S96" s="36">
        <f t="shared" si="1"/>
        <v>665443</v>
      </c>
      <c r="T96" s="2"/>
      <c r="U96" s="2">
        <v>95001</v>
      </c>
      <c r="V96" s="2"/>
      <c r="W96" s="2"/>
      <c r="X96" s="2">
        <f>'St of Net Assets'!O97-U96</f>
        <v>0</v>
      </c>
    </row>
    <row r="97" spans="1:26" ht="12" customHeight="1">
      <c r="A97" s="19" t="s">
        <v>213</v>
      </c>
      <c r="C97" s="19" t="s">
        <v>214</v>
      </c>
      <c r="E97" s="19">
        <v>48280</v>
      </c>
      <c r="G97" s="2">
        <v>0</v>
      </c>
      <c r="H97" s="2"/>
      <c r="I97" s="2">
        <v>0</v>
      </c>
      <c r="J97" s="2"/>
      <c r="K97" s="2">
        <v>0</v>
      </c>
      <c r="L97" s="2"/>
      <c r="M97" s="2">
        <v>0</v>
      </c>
      <c r="N97" s="2"/>
      <c r="O97" s="2">
        <v>489591</v>
      </c>
      <c r="P97" s="2"/>
      <c r="Q97" s="2">
        <v>0</v>
      </c>
      <c r="R97" s="2"/>
      <c r="S97" s="36">
        <f t="shared" si="1"/>
        <v>489591</v>
      </c>
      <c r="T97" s="2"/>
      <c r="U97" s="2">
        <v>141515</v>
      </c>
      <c r="V97" s="2"/>
      <c r="W97" s="2"/>
      <c r="X97" s="2">
        <f>'St of Net Assets'!O98-U97</f>
        <v>0</v>
      </c>
    </row>
    <row r="98" spans="1:26">
      <c r="A98" s="19" t="s">
        <v>215</v>
      </c>
      <c r="C98" s="19" t="s">
        <v>216</v>
      </c>
      <c r="E98" s="19">
        <v>48454</v>
      </c>
      <c r="G98" s="2">
        <v>0</v>
      </c>
      <c r="H98" s="2"/>
      <c r="I98" s="2">
        <v>0</v>
      </c>
      <c r="J98" s="2"/>
      <c r="K98" s="2">
        <v>0</v>
      </c>
      <c r="L98" s="2"/>
      <c r="M98" s="2">
        <v>0</v>
      </c>
      <c r="N98" s="2"/>
      <c r="O98" s="2">
        <v>160121</v>
      </c>
      <c r="P98" s="2"/>
      <c r="Q98" s="2">
        <v>0</v>
      </c>
      <c r="R98" s="2"/>
      <c r="S98" s="36">
        <f t="shared" si="1"/>
        <v>160121</v>
      </c>
      <c r="T98" s="2"/>
      <c r="U98" s="2">
        <v>61741</v>
      </c>
      <c r="V98" s="2"/>
      <c r="W98" s="2"/>
      <c r="X98" s="2">
        <f>'St of Net Assets'!O99-U98</f>
        <v>0</v>
      </c>
    </row>
    <row r="99" spans="1:26" hidden="1">
      <c r="A99" s="13" t="s">
        <v>419</v>
      </c>
      <c r="C99" s="19" t="s">
        <v>218</v>
      </c>
      <c r="E99" s="19">
        <v>48546</v>
      </c>
      <c r="G99" s="2">
        <v>0</v>
      </c>
      <c r="H99" s="2"/>
      <c r="I99" s="2">
        <v>0</v>
      </c>
      <c r="J99" s="2"/>
      <c r="K99" s="2">
        <v>0</v>
      </c>
      <c r="L99" s="2"/>
      <c r="M99" s="2">
        <v>0</v>
      </c>
      <c r="N99" s="2"/>
      <c r="O99" s="2">
        <v>0</v>
      </c>
      <c r="P99" s="2"/>
      <c r="Q99" s="2">
        <v>0</v>
      </c>
      <c r="R99" s="2"/>
      <c r="S99" s="36">
        <f t="shared" si="1"/>
        <v>0</v>
      </c>
      <c r="T99" s="2"/>
      <c r="U99" s="2">
        <v>0</v>
      </c>
      <c r="V99" s="2"/>
      <c r="W99" s="2"/>
      <c r="X99" s="2">
        <f>'St of Net Assets'!O100-U99</f>
        <v>0</v>
      </c>
      <c r="Z99" s="63"/>
    </row>
    <row r="100" spans="1:26">
      <c r="A100" s="19" t="s">
        <v>219</v>
      </c>
      <c r="C100" s="19" t="s">
        <v>220</v>
      </c>
      <c r="E100" s="19">
        <v>48603</v>
      </c>
      <c r="G100" s="2">
        <v>0</v>
      </c>
      <c r="H100" s="2"/>
      <c r="I100" s="2">
        <v>0</v>
      </c>
      <c r="J100" s="2"/>
      <c r="K100" s="2">
        <v>0</v>
      </c>
      <c r="L100" s="2"/>
      <c r="M100" s="2">
        <v>8363</v>
      </c>
      <c r="N100" s="2"/>
      <c r="O100" s="2">
        <v>486990</v>
      </c>
      <c r="P100" s="2"/>
      <c r="Q100" s="2">
        <v>0</v>
      </c>
      <c r="R100" s="2"/>
      <c r="S100" s="36">
        <f t="shared" si="1"/>
        <v>495353</v>
      </c>
      <c r="T100" s="2"/>
      <c r="U100" s="2">
        <v>29246</v>
      </c>
      <c r="V100" s="2"/>
      <c r="W100" s="2"/>
      <c r="X100" s="2">
        <f>'St of Net Assets'!O101-U100</f>
        <v>0</v>
      </c>
    </row>
    <row r="101" spans="1:26" hidden="1">
      <c r="A101" s="2" t="s">
        <v>418</v>
      </c>
      <c r="B101" s="2"/>
      <c r="C101" s="2" t="s">
        <v>236</v>
      </c>
      <c r="G101" s="2">
        <v>0</v>
      </c>
      <c r="H101" s="2"/>
      <c r="I101" s="2">
        <v>0</v>
      </c>
      <c r="J101" s="2"/>
      <c r="K101" s="2">
        <v>0</v>
      </c>
      <c r="L101" s="2"/>
      <c r="M101" s="2">
        <v>0</v>
      </c>
      <c r="N101" s="2"/>
      <c r="O101" s="2">
        <v>0</v>
      </c>
      <c r="P101" s="2"/>
      <c r="Q101" s="2">
        <v>0</v>
      </c>
      <c r="R101" s="2"/>
      <c r="S101" s="36">
        <f t="shared" si="1"/>
        <v>0</v>
      </c>
      <c r="T101" s="2"/>
      <c r="U101" s="2">
        <v>0</v>
      </c>
      <c r="V101" s="2"/>
      <c r="W101" s="2"/>
      <c r="X101" s="2">
        <f>'St of Net Assets'!O102-U101</f>
        <v>0</v>
      </c>
      <c r="Z101" s="63"/>
    </row>
    <row r="102" spans="1:26">
      <c r="A102" s="19" t="s">
        <v>221</v>
      </c>
      <c r="C102" s="19" t="s">
        <v>222</v>
      </c>
      <c r="E102" s="19">
        <v>48660</v>
      </c>
      <c r="G102" s="2">
        <v>0</v>
      </c>
      <c r="H102" s="2"/>
      <c r="I102" s="2">
        <v>57317</v>
      </c>
      <c r="J102" s="2"/>
      <c r="K102" s="2">
        <v>0</v>
      </c>
      <c r="L102" s="2"/>
      <c r="M102" s="2">
        <v>626078</v>
      </c>
      <c r="N102" s="2"/>
      <c r="O102" s="2">
        <v>514907</v>
      </c>
      <c r="P102" s="2"/>
      <c r="Q102" s="2">
        <v>0</v>
      </c>
      <c r="R102" s="2"/>
      <c r="S102" s="36">
        <f t="shared" si="1"/>
        <v>1198302</v>
      </c>
      <c r="T102" s="2"/>
      <c r="U102" s="2">
        <v>357400</v>
      </c>
      <c r="V102" s="2"/>
      <c r="W102" s="2"/>
      <c r="X102" s="2">
        <f>'St of Net Assets'!O103-U102</f>
        <v>0</v>
      </c>
    </row>
    <row r="103" spans="1:26">
      <c r="A103" s="19" t="s">
        <v>223</v>
      </c>
      <c r="C103" s="19" t="s">
        <v>224</v>
      </c>
      <c r="E103" s="19">
        <v>125252</v>
      </c>
      <c r="G103" s="2">
        <v>0</v>
      </c>
      <c r="H103" s="2"/>
      <c r="I103" s="2">
        <v>0</v>
      </c>
      <c r="J103" s="2"/>
      <c r="K103" s="2">
        <v>0</v>
      </c>
      <c r="L103" s="2"/>
      <c r="M103" s="2">
        <v>0</v>
      </c>
      <c r="N103" s="2"/>
      <c r="O103" s="2">
        <v>840812</v>
      </c>
      <c r="P103" s="2"/>
      <c r="Q103" s="2">
        <v>0</v>
      </c>
      <c r="R103" s="2"/>
      <c r="S103" s="36">
        <f t="shared" si="1"/>
        <v>840812</v>
      </c>
      <c r="T103" s="2"/>
      <c r="U103" s="2">
        <v>13675</v>
      </c>
      <c r="V103" s="2"/>
      <c r="W103" s="2"/>
      <c r="X103" s="2">
        <f>'St of Net Assets'!O104-U103</f>
        <v>0</v>
      </c>
    </row>
    <row r="104" spans="1:26">
      <c r="A104" s="19" t="s">
        <v>374</v>
      </c>
      <c r="C104" s="19" t="s">
        <v>244</v>
      </c>
      <c r="E104" s="19">
        <v>123257</v>
      </c>
      <c r="G104" s="2">
        <v>0</v>
      </c>
      <c r="H104" s="2"/>
      <c r="I104" s="2">
        <v>0</v>
      </c>
      <c r="J104" s="2"/>
      <c r="K104" s="2">
        <v>0</v>
      </c>
      <c r="L104" s="2"/>
      <c r="M104" s="2">
        <v>0</v>
      </c>
      <c r="N104" s="2"/>
      <c r="O104" s="2">
        <v>571122</v>
      </c>
      <c r="P104" s="2"/>
      <c r="Q104" s="2">
        <v>0</v>
      </c>
      <c r="R104" s="2"/>
      <c r="S104" s="36">
        <f t="shared" ref="S104" si="2">SUM(G104:R104)</f>
        <v>571122</v>
      </c>
      <c r="T104" s="2"/>
      <c r="U104" s="2">
        <v>98742</v>
      </c>
      <c r="V104" s="2"/>
      <c r="W104" s="2"/>
      <c r="X104" s="2">
        <f>'St of Net Assets'!O105-U104</f>
        <v>0</v>
      </c>
    </row>
    <row r="105" spans="1:26" hidden="1">
      <c r="A105" s="19" t="s">
        <v>413</v>
      </c>
      <c r="C105" s="19" t="s">
        <v>183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6"/>
      <c r="T105" s="2"/>
      <c r="U105" s="2"/>
      <c r="V105" s="2"/>
      <c r="W105" s="2"/>
      <c r="X105" s="2"/>
    </row>
    <row r="106" spans="1:26" hidden="1">
      <c r="A106" s="19" t="s">
        <v>187</v>
      </c>
      <c r="C106" s="2" t="s">
        <v>275</v>
      </c>
      <c r="E106" s="19">
        <v>124297</v>
      </c>
      <c r="G106" s="2">
        <v>0</v>
      </c>
      <c r="H106" s="2"/>
      <c r="I106" s="2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36">
        <f t="shared" si="1"/>
        <v>0</v>
      </c>
      <c r="T106" s="2"/>
      <c r="U106" s="2"/>
      <c r="V106" s="2"/>
      <c r="W106" s="2"/>
      <c r="X106" s="2">
        <f>'St of Net Assets'!O107-U106</f>
        <v>0</v>
      </c>
    </row>
    <row r="107" spans="1:26" hidden="1">
      <c r="A107" s="19" t="s">
        <v>356</v>
      </c>
      <c r="C107" s="2" t="s">
        <v>363</v>
      </c>
      <c r="E107" s="19">
        <v>123521</v>
      </c>
      <c r="G107" s="2">
        <v>0</v>
      </c>
      <c r="H107" s="2"/>
      <c r="I107" s="2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36">
        <f t="shared" si="1"/>
        <v>0</v>
      </c>
      <c r="T107" s="2"/>
      <c r="U107" s="2"/>
      <c r="V107" s="2"/>
      <c r="W107" s="2"/>
      <c r="X107" s="2">
        <f>'St of Net Assets'!O108-U107</f>
        <v>0</v>
      </c>
    </row>
    <row r="108" spans="1:26">
      <c r="A108" s="19" t="s">
        <v>225</v>
      </c>
      <c r="C108" s="19" t="s">
        <v>226</v>
      </c>
      <c r="E108" s="19">
        <v>125674</v>
      </c>
      <c r="G108" s="2">
        <v>0</v>
      </c>
      <c r="H108" s="2"/>
      <c r="I108" s="2">
        <v>0</v>
      </c>
      <c r="J108" s="2"/>
      <c r="K108" s="2">
        <v>0</v>
      </c>
      <c r="L108" s="2"/>
      <c r="M108" s="2">
        <v>53790</v>
      </c>
      <c r="N108" s="2"/>
      <c r="O108" s="2">
        <v>269941</v>
      </c>
      <c r="P108" s="2"/>
      <c r="Q108" s="2">
        <v>0</v>
      </c>
      <c r="R108" s="2"/>
      <c r="S108" s="36">
        <f t="shared" si="1"/>
        <v>323731</v>
      </c>
      <c r="T108" s="2"/>
      <c r="U108" s="2">
        <v>30516</v>
      </c>
      <c r="V108" s="2"/>
      <c r="W108" s="2"/>
      <c r="X108" s="2">
        <f>'St of Net Assets'!O109-U108</f>
        <v>0</v>
      </c>
      <c r="Z108" s="13"/>
    </row>
    <row r="109" spans="1:26">
      <c r="A109" s="19" t="s">
        <v>227</v>
      </c>
      <c r="C109" s="19" t="s">
        <v>228</v>
      </c>
      <c r="E109" s="19">
        <v>49072</v>
      </c>
      <c r="G109" s="2">
        <v>0</v>
      </c>
      <c r="H109" s="2"/>
      <c r="I109" s="2">
        <v>0</v>
      </c>
      <c r="J109" s="2"/>
      <c r="K109" s="2">
        <v>0</v>
      </c>
      <c r="L109" s="2"/>
      <c r="M109" s="2">
        <v>0</v>
      </c>
      <c r="N109" s="2"/>
      <c r="O109" s="2">
        <v>147027</v>
      </c>
      <c r="P109" s="2"/>
      <c r="Q109" s="2">
        <v>0</v>
      </c>
      <c r="R109" s="2"/>
      <c r="S109" s="36">
        <f t="shared" si="1"/>
        <v>147027</v>
      </c>
      <c r="T109" s="2"/>
      <c r="U109" s="2">
        <v>7699</v>
      </c>
      <c r="V109" s="2"/>
      <c r="W109" s="2"/>
      <c r="X109" s="2">
        <f>'St of Net Assets'!O110-U109</f>
        <v>0</v>
      </c>
    </row>
    <row r="110" spans="1:26">
      <c r="A110" s="19" t="s">
        <v>229</v>
      </c>
      <c r="C110" s="19" t="s">
        <v>230</v>
      </c>
      <c r="E110" s="19">
        <v>49163</v>
      </c>
      <c r="G110" s="2">
        <v>0</v>
      </c>
      <c r="H110" s="2"/>
      <c r="I110" s="2">
        <v>0</v>
      </c>
      <c r="J110" s="2"/>
      <c r="K110" s="2">
        <v>0</v>
      </c>
      <c r="L110" s="2"/>
      <c r="M110" s="2">
        <v>21045</v>
      </c>
      <c r="N110" s="2"/>
      <c r="O110" s="2">
        <v>77449</v>
      </c>
      <c r="P110" s="2"/>
      <c r="Q110" s="2">
        <v>0</v>
      </c>
      <c r="R110" s="2"/>
      <c r="S110" s="36">
        <f t="shared" si="1"/>
        <v>98494</v>
      </c>
      <c r="T110" s="2"/>
      <c r="U110" s="2">
        <v>11441</v>
      </c>
      <c r="V110" s="2"/>
      <c r="W110" s="2"/>
      <c r="X110" s="2">
        <f>'St of Net Assets'!O111-U110</f>
        <v>0</v>
      </c>
    </row>
    <row r="111" spans="1:26" hidden="1">
      <c r="A111" s="19" t="s">
        <v>421</v>
      </c>
      <c r="C111" s="19" t="s">
        <v>232</v>
      </c>
      <c r="E111" s="19">
        <v>49254</v>
      </c>
      <c r="G111" s="2">
        <v>0</v>
      </c>
      <c r="H111" s="2"/>
      <c r="I111" s="2">
        <v>0</v>
      </c>
      <c r="J111" s="2"/>
      <c r="K111" s="2">
        <v>0</v>
      </c>
      <c r="L111" s="2"/>
      <c r="M111" s="2">
        <v>1278000</v>
      </c>
      <c r="N111" s="2"/>
      <c r="O111" s="2">
        <v>0</v>
      </c>
      <c r="P111" s="2"/>
      <c r="Q111" s="2">
        <v>0</v>
      </c>
      <c r="R111" s="2"/>
      <c r="S111" s="36">
        <f t="shared" si="1"/>
        <v>1278000</v>
      </c>
      <c r="T111" s="2"/>
      <c r="U111" s="2">
        <v>31000</v>
      </c>
      <c r="V111" s="2"/>
      <c r="W111" s="2"/>
      <c r="X111" s="2">
        <f>'St of Net Assets'!O112-U111</f>
        <v>0</v>
      </c>
      <c r="Z111" s="19" t="s">
        <v>422</v>
      </c>
    </row>
    <row r="112" spans="1:26">
      <c r="A112" s="19" t="s">
        <v>233</v>
      </c>
      <c r="C112" s="19" t="s">
        <v>234</v>
      </c>
      <c r="E112" s="19">
        <v>49304</v>
      </c>
      <c r="G112" s="2">
        <v>0</v>
      </c>
      <c r="H112" s="2"/>
      <c r="I112" s="2">
        <v>0</v>
      </c>
      <c r="J112" s="2"/>
      <c r="K112" s="2">
        <v>0</v>
      </c>
      <c r="L112" s="2"/>
      <c r="M112" s="2">
        <v>698189</v>
      </c>
      <c r="N112" s="2"/>
      <c r="O112" s="2">
        <v>534438</v>
      </c>
      <c r="P112" s="2"/>
      <c r="Q112" s="2">
        <v>0</v>
      </c>
      <c r="R112" s="2"/>
      <c r="S112" s="36">
        <f t="shared" si="1"/>
        <v>1232627</v>
      </c>
      <c r="T112" s="2"/>
      <c r="U112" s="2">
        <v>207421</v>
      </c>
      <c r="V112" s="2"/>
      <c r="W112" s="2"/>
      <c r="X112" s="2">
        <f>'St of Net Assets'!O113-U112</f>
        <v>0</v>
      </c>
    </row>
    <row r="113" spans="1:26">
      <c r="A113" s="19" t="s">
        <v>237</v>
      </c>
      <c r="C113" s="19" t="s">
        <v>238</v>
      </c>
      <c r="E113" s="19">
        <v>138222</v>
      </c>
      <c r="G113" s="2">
        <v>0</v>
      </c>
      <c r="H113" s="2"/>
      <c r="I113" s="2">
        <v>0</v>
      </c>
      <c r="J113" s="2"/>
      <c r="K113" s="2">
        <v>0</v>
      </c>
      <c r="L113" s="2"/>
      <c r="M113" s="2">
        <v>0</v>
      </c>
      <c r="N113" s="2"/>
      <c r="O113" s="2">
        <v>459762</v>
      </c>
      <c r="P113" s="2"/>
      <c r="Q113" s="2">
        <v>0</v>
      </c>
      <c r="R113" s="2"/>
      <c r="S113" s="36">
        <f t="shared" si="1"/>
        <v>459762</v>
      </c>
      <c r="T113" s="2"/>
      <c r="U113" s="2">
        <v>141688</v>
      </c>
      <c r="V113" s="2"/>
      <c r="W113" s="2"/>
      <c r="X113" s="2">
        <f>'St of Net Assets'!O114-U113</f>
        <v>0</v>
      </c>
    </row>
    <row r="114" spans="1:26" hidden="1">
      <c r="A114" s="71" t="s">
        <v>239</v>
      </c>
      <c r="C114" s="19" t="s">
        <v>240</v>
      </c>
      <c r="E114" s="19">
        <v>49551</v>
      </c>
      <c r="G114" s="2">
        <v>0</v>
      </c>
      <c r="H114" s="2"/>
      <c r="I114" s="2"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36">
        <f t="shared" si="1"/>
        <v>0</v>
      </c>
      <c r="T114" s="2"/>
      <c r="U114" s="2"/>
      <c r="V114" s="2"/>
      <c r="W114" s="2"/>
      <c r="X114" s="2">
        <f>'St of Net Assets'!O115-U114</f>
        <v>0</v>
      </c>
      <c r="Z114" s="17" t="s">
        <v>425</v>
      </c>
    </row>
    <row r="115" spans="1:26">
      <c r="A115" s="19" t="s">
        <v>245</v>
      </c>
      <c r="C115" s="19" t="s">
        <v>246</v>
      </c>
      <c r="E115" s="19">
        <v>49742</v>
      </c>
      <c r="G115" s="2">
        <v>0</v>
      </c>
      <c r="H115" s="2"/>
      <c r="I115" s="2">
        <v>0</v>
      </c>
      <c r="J115" s="2"/>
      <c r="K115" s="2">
        <v>0</v>
      </c>
      <c r="L115" s="2"/>
      <c r="M115" s="2">
        <v>27988</v>
      </c>
      <c r="N115" s="2"/>
      <c r="O115" s="2">
        <v>83227</v>
      </c>
      <c r="P115" s="2"/>
      <c r="Q115" s="2">
        <v>0</v>
      </c>
      <c r="R115" s="2"/>
      <c r="S115" s="36">
        <f t="shared" si="1"/>
        <v>111215</v>
      </c>
      <c r="T115" s="2"/>
      <c r="U115" s="2">
        <v>42527</v>
      </c>
      <c r="V115" s="2"/>
      <c r="W115" s="2"/>
      <c r="X115" s="2">
        <f>'St of Net Assets'!O116-U115</f>
        <v>0</v>
      </c>
    </row>
    <row r="116" spans="1:26">
      <c r="A116" s="19" t="s">
        <v>371</v>
      </c>
      <c r="C116" s="19" t="s">
        <v>242</v>
      </c>
      <c r="E116" s="19">
        <v>125658</v>
      </c>
      <c r="G116" s="2">
        <v>0</v>
      </c>
      <c r="H116" s="2"/>
      <c r="I116" s="2">
        <v>0</v>
      </c>
      <c r="J116" s="2"/>
      <c r="K116" s="2">
        <v>0</v>
      </c>
      <c r="L116" s="2"/>
      <c r="M116" s="2">
        <v>85100</v>
      </c>
      <c r="N116" s="2"/>
      <c r="O116" s="2">
        <v>312604</v>
      </c>
      <c r="P116" s="2"/>
      <c r="Q116" s="2">
        <v>0</v>
      </c>
      <c r="R116" s="2"/>
      <c r="S116" s="36">
        <f t="shared" si="1"/>
        <v>397704</v>
      </c>
      <c r="T116" s="2"/>
      <c r="U116" s="2">
        <v>146508</v>
      </c>
      <c r="V116" s="2"/>
      <c r="W116" s="2"/>
      <c r="X116" s="2">
        <f>'St of Net Assets'!O117-U116</f>
        <v>0</v>
      </c>
    </row>
    <row r="117" spans="1:26">
      <c r="A117" s="2" t="s">
        <v>370</v>
      </c>
      <c r="B117" s="2"/>
      <c r="C117" s="2" t="s">
        <v>173</v>
      </c>
      <c r="G117" s="2">
        <v>0</v>
      </c>
      <c r="H117" s="2"/>
      <c r="I117" s="2">
        <v>0</v>
      </c>
      <c r="J117" s="2"/>
      <c r="K117" s="2">
        <v>0</v>
      </c>
      <c r="L117" s="2"/>
      <c r="M117" s="2">
        <v>0</v>
      </c>
      <c r="N117" s="2"/>
      <c r="O117" s="2">
        <v>306966</v>
      </c>
      <c r="P117" s="2"/>
      <c r="Q117" s="2">
        <v>0</v>
      </c>
      <c r="R117" s="2"/>
      <c r="S117" s="36">
        <f>SUM(G117:R117)</f>
        <v>306966</v>
      </c>
      <c r="T117" s="2"/>
      <c r="U117" s="2">
        <v>36655</v>
      </c>
      <c r="V117" s="2"/>
      <c r="W117" s="2"/>
      <c r="X117" s="2">
        <f>'St of Net Assets'!O118-U117</f>
        <v>0</v>
      </c>
      <c r="Z117" s="80" t="s">
        <v>411</v>
      </c>
    </row>
    <row r="118" spans="1:26">
      <c r="A118" s="19" t="s">
        <v>435</v>
      </c>
      <c r="C118" s="19" t="s">
        <v>248</v>
      </c>
      <c r="E118" s="19">
        <v>49825</v>
      </c>
      <c r="G118" s="2">
        <v>0</v>
      </c>
      <c r="H118" s="2"/>
      <c r="I118" s="2">
        <v>0</v>
      </c>
      <c r="J118" s="2"/>
      <c r="K118" s="2">
        <v>0</v>
      </c>
      <c r="L118" s="2"/>
      <c r="M118" s="2">
        <v>0</v>
      </c>
      <c r="N118" s="2"/>
      <c r="O118" s="2">
        <v>790180</v>
      </c>
      <c r="P118" s="2"/>
      <c r="Q118" s="2">
        <v>0</v>
      </c>
      <c r="R118" s="2"/>
      <c r="S118" s="36">
        <f t="shared" si="1"/>
        <v>790180</v>
      </c>
      <c r="T118" s="2"/>
      <c r="U118" s="2">
        <v>38753</v>
      </c>
      <c r="V118" s="2"/>
      <c r="W118" s="2"/>
      <c r="X118" s="2">
        <f>'St of Net Assets'!O119-U118</f>
        <v>0</v>
      </c>
      <c r="Z118" s="100" t="s">
        <v>424</v>
      </c>
    </row>
    <row r="119" spans="1:26">
      <c r="A119" s="19" t="s">
        <v>249</v>
      </c>
      <c r="C119" s="19" t="s">
        <v>250</v>
      </c>
      <c r="E119" s="19">
        <v>49965</v>
      </c>
      <c r="G119" s="2">
        <v>0</v>
      </c>
      <c r="H119" s="2"/>
      <c r="I119" s="2">
        <v>0</v>
      </c>
      <c r="J119" s="2"/>
      <c r="K119" s="2">
        <v>0</v>
      </c>
      <c r="L119" s="2"/>
      <c r="M119" s="2">
        <v>1185133</v>
      </c>
      <c r="N119" s="2"/>
      <c r="O119" s="2">
        <v>172101</v>
      </c>
      <c r="P119" s="2"/>
      <c r="Q119" s="2">
        <v>0</v>
      </c>
      <c r="R119" s="2"/>
      <c r="S119" s="36">
        <f t="shared" si="1"/>
        <v>1357234</v>
      </c>
      <c r="T119" s="2"/>
      <c r="U119" s="2">
        <v>99734</v>
      </c>
      <c r="V119" s="2"/>
      <c r="W119" s="2"/>
      <c r="X119" s="2">
        <f>'St of Net Assets'!O120-U119</f>
        <v>0</v>
      </c>
    </row>
    <row r="120" spans="1:26" s="60" customFormat="1">
      <c r="A120" s="60" t="s">
        <v>261</v>
      </c>
      <c r="C120" s="60" t="s">
        <v>262</v>
      </c>
      <c r="E120" s="60">
        <v>50526</v>
      </c>
      <c r="G120" s="13">
        <v>0</v>
      </c>
      <c r="H120" s="13"/>
      <c r="I120" s="13">
        <v>0</v>
      </c>
      <c r="J120" s="13"/>
      <c r="K120" s="13">
        <v>0</v>
      </c>
      <c r="L120" s="13"/>
      <c r="M120" s="13">
        <v>0</v>
      </c>
      <c r="N120" s="13"/>
      <c r="O120" s="13">
        <v>463540</v>
      </c>
      <c r="P120" s="13"/>
      <c r="Q120" s="13">
        <v>0</v>
      </c>
      <c r="R120" s="13"/>
      <c r="S120" s="64">
        <f t="shared" si="1"/>
        <v>463540</v>
      </c>
      <c r="T120" s="13"/>
      <c r="U120" s="13">
        <v>273151</v>
      </c>
      <c r="V120" s="13"/>
      <c r="W120" s="13"/>
      <c r="X120" s="13">
        <f>'St of Net Assets'!O121-U120</f>
        <v>0</v>
      </c>
    </row>
    <row r="121" spans="1:26" s="60" customFormat="1">
      <c r="A121" s="60" t="s">
        <v>251</v>
      </c>
      <c r="C121" s="60" t="s">
        <v>252</v>
      </c>
      <c r="E121" s="60">
        <v>50088</v>
      </c>
      <c r="G121" s="13">
        <v>0</v>
      </c>
      <c r="H121" s="13"/>
      <c r="I121" s="13">
        <v>0</v>
      </c>
      <c r="J121" s="13"/>
      <c r="K121" s="13">
        <v>0</v>
      </c>
      <c r="L121" s="13"/>
      <c r="M121" s="13">
        <v>0</v>
      </c>
      <c r="N121" s="13"/>
      <c r="O121" s="13">
        <v>763058</v>
      </c>
      <c r="P121" s="13"/>
      <c r="Q121" s="13">
        <v>0</v>
      </c>
      <c r="R121" s="13"/>
      <c r="S121" s="64">
        <f t="shared" si="1"/>
        <v>763058</v>
      </c>
      <c r="T121" s="13"/>
      <c r="U121" s="13">
        <v>126742</v>
      </c>
      <c r="V121" s="13"/>
      <c r="W121" s="13"/>
      <c r="X121" s="13">
        <f>'St of Net Assets'!O122-U121</f>
        <v>0</v>
      </c>
    </row>
    <row r="122" spans="1:26" s="60" customFormat="1">
      <c r="A122" s="13" t="s">
        <v>389</v>
      </c>
      <c r="C122" s="60" t="s">
        <v>254</v>
      </c>
      <c r="E122" s="60">
        <v>50260</v>
      </c>
      <c r="G122" s="13">
        <v>0</v>
      </c>
      <c r="H122" s="13"/>
      <c r="I122" s="13">
        <v>0</v>
      </c>
      <c r="J122" s="13"/>
      <c r="K122" s="13">
        <v>0</v>
      </c>
      <c r="L122" s="13"/>
      <c r="M122" s="13">
        <f>538286+146773</f>
        <v>685059</v>
      </c>
      <c r="N122" s="13"/>
      <c r="O122" s="13">
        <v>326302</v>
      </c>
      <c r="P122" s="13"/>
      <c r="Q122" s="13">
        <v>0</v>
      </c>
      <c r="R122" s="13"/>
      <c r="S122" s="64">
        <f t="shared" si="1"/>
        <v>1011361</v>
      </c>
      <c r="T122" s="13"/>
      <c r="U122" s="13">
        <v>145464</v>
      </c>
      <c r="V122" s="13"/>
      <c r="W122" s="13"/>
      <c r="X122" s="13">
        <f>'St of Net Assets'!O123-U122</f>
        <v>0</v>
      </c>
    </row>
    <row r="123" spans="1:26" hidden="1">
      <c r="A123" s="19" t="s">
        <v>257</v>
      </c>
      <c r="C123" s="19" t="s">
        <v>258</v>
      </c>
      <c r="E123" s="19">
        <v>50401</v>
      </c>
      <c r="G123" s="2">
        <v>0</v>
      </c>
      <c r="H123" s="2"/>
      <c r="I123" s="2">
        <v>0</v>
      </c>
      <c r="J123" s="2"/>
      <c r="K123" s="2">
        <v>0</v>
      </c>
      <c r="L123" s="2"/>
      <c r="M123" s="2">
        <v>0</v>
      </c>
      <c r="N123" s="2"/>
      <c r="O123" s="2">
        <v>0</v>
      </c>
      <c r="P123" s="2"/>
      <c r="Q123" s="2">
        <v>0</v>
      </c>
      <c r="R123" s="2"/>
      <c r="S123" s="36">
        <f t="shared" si="1"/>
        <v>0</v>
      </c>
      <c r="T123" s="2"/>
      <c r="U123" s="2">
        <v>0</v>
      </c>
      <c r="V123" s="2"/>
      <c r="W123" s="2"/>
      <c r="X123" s="2">
        <f>'St of Net Assets'!O124-U123</f>
        <v>0</v>
      </c>
      <c r="Z123" s="13" t="s">
        <v>373</v>
      </c>
    </row>
    <row r="124" spans="1:26" hidden="1">
      <c r="A124" s="71" t="s">
        <v>259</v>
      </c>
      <c r="C124" s="19" t="s">
        <v>260</v>
      </c>
      <c r="E124" s="19">
        <v>50476</v>
      </c>
      <c r="G124" s="2">
        <v>0</v>
      </c>
      <c r="H124" s="2"/>
      <c r="I124" s="2"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36">
        <f t="shared" si="1"/>
        <v>0</v>
      </c>
      <c r="T124" s="2"/>
      <c r="U124" s="2"/>
      <c r="V124" s="2"/>
      <c r="W124" s="2"/>
      <c r="X124" s="2">
        <f>'St of Net Assets'!O125-U124</f>
        <v>0</v>
      </c>
      <c r="Z124" s="60" t="s">
        <v>428</v>
      </c>
    </row>
    <row r="125" spans="1:26">
      <c r="A125" s="19" t="s">
        <v>255</v>
      </c>
      <c r="C125" s="19" t="s">
        <v>358</v>
      </c>
      <c r="E125" s="19">
        <v>134999</v>
      </c>
      <c r="G125" s="2">
        <v>0</v>
      </c>
      <c r="H125" s="2"/>
      <c r="I125" s="2">
        <v>0</v>
      </c>
      <c r="J125" s="2"/>
      <c r="K125" s="2">
        <v>0</v>
      </c>
      <c r="L125" s="2"/>
      <c r="M125" s="2">
        <v>0</v>
      </c>
      <c r="N125" s="2"/>
      <c r="O125" s="2">
        <v>216508</v>
      </c>
      <c r="P125" s="2"/>
      <c r="Q125" s="2">
        <v>0</v>
      </c>
      <c r="R125" s="2"/>
      <c r="S125" s="36">
        <f t="shared" si="1"/>
        <v>216508</v>
      </c>
      <c r="T125" s="2"/>
      <c r="U125" s="2">
        <v>34007</v>
      </c>
      <c r="V125" s="2"/>
      <c r="W125" s="2"/>
      <c r="X125" s="2">
        <f>'St of Net Assets'!O126-U125</f>
        <v>0</v>
      </c>
    </row>
    <row r="126" spans="1:26">
      <c r="A126" s="19" t="s">
        <v>263</v>
      </c>
      <c r="C126" s="19" t="s">
        <v>264</v>
      </c>
      <c r="E126" s="19">
        <v>50666</v>
      </c>
      <c r="G126" s="2">
        <v>0</v>
      </c>
      <c r="H126" s="2"/>
      <c r="I126" s="2">
        <v>0</v>
      </c>
      <c r="J126" s="2"/>
      <c r="K126" s="2">
        <v>0</v>
      </c>
      <c r="L126" s="2"/>
      <c r="M126" s="2">
        <v>0</v>
      </c>
      <c r="N126" s="2"/>
      <c r="O126" s="2">
        <v>768209</v>
      </c>
      <c r="P126" s="2"/>
      <c r="Q126" s="2">
        <v>0</v>
      </c>
      <c r="R126" s="2"/>
      <c r="S126" s="36">
        <f t="shared" si="1"/>
        <v>768209</v>
      </c>
      <c r="T126" s="2"/>
      <c r="U126" s="2">
        <v>82574</v>
      </c>
      <c r="V126" s="2"/>
      <c r="W126" s="2"/>
      <c r="X126" s="2">
        <f>'St of Net Assets'!O127-U126</f>
        <v>0</v>
      </c>
    </row>
    <row r="141" spans="7:21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6"/>
      <c r="T141" s="2"/>
      <c r="U141" s="2"/>
    </row>
  </sheetData>
  <phoneticPr fontId="3" type="noConversion"/>
  <pageMargins left="0.75" right="0.75" top="0.5" bottom="0.5" header="0" footer="0.25"/>
  <pageSetup scale="80" firstPageNumber="70" fitToWidth="2" fitToHeight="2" pageOrder="overThenDown" orientation="portrait" useFirstPageNumber="1" r:id="rId1"/>
  <headerFooter alignWithMargins="0">
    <oddFooter>&amp;C&amp;"Times New Roman,Regular"&amp;12&amp;P</oddFooter>
  </headerFooter>
  <rowBreaks count="1" manualBreakCount="1">
    <brk id="6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N138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2" sqref="A12"/>
      <selection pane="bottomRight" activeCell="R11" sqref="R11"/>
    </sheetView>
  </sheetViews>
  <sheetFormatPr defaultRowHeight="12.75"/>
  <cols>
    <col min="1" max="1" width="40.7109375" style="96" customWidth="1"/>
    <col min="2" max="2" width="2.28515625" style="96" customWidth="1"/>
    <col min="3" max="3" width="9.140625" style="96"/>
    <col min="4" max="4" width="1.7109375" style="96" hidden="1" customWidth="1"/>
    <col min="5" max="5" width="9.140625" style="96" hidden="1" customWidth="1"/>
    <col min="6" max="6" width="1.7109375" style="96" customWidth="1"/>
    <col min="7" max="7" width="9.7109375" style="96" customWidth="1"/>
    <col min="8" max="8" width="1.7109375" style="96" customWidth="1"/>
    <col min="9" max="9" width="9.7109375" style="96" customWidth="1"/>
    <col min="10" max="10" width="1.7109375" style="96" customWidth="1"/>
    <col min="11" max="11" width="9.7109375" style="96" customWidth="1"/>
    <col min="12" max="12" width="1.7109375" style="96" customWidth="1"/>
    <col min="13" max="13" width="9.7109375" style="96" customWidth="1"/>
    <col min="14" max="14" width="1.7109375" style="96" customWidth="1"/>
    <col min="15" max="15" width="10.7109375" style="96" customWidth="1"/>
    <col min="16" max="16" width="1.28515625" style="112" customWidth="1"/>
    <col min="17" max="17" width="9.7109375" style="96" customWidth="1"/>
    <col min="18" max="18" width="1.7109375" style="96" customWidth="1"/>
    <col min="19" max="19" width="9.7109375" style="96" customWidth="1"/>
    <col min="20" max="20" width="1.7109375" style="96" customWidth="1"/>
    <col min="21" max="21" width="9.7109375" style="96" customWidth="1"/>
    <col min="22" max="22" width="1.7109375" style="96" customWidth="1"/>
    <col min="23" max="23" width="9.7109375" style="96" customWidth="1"/>
    <col min="24" max="24" width="1.7109375" style="96" customWidth="1"/>
    <col min="25" max="25" width="9.7109375" style="96" customWidth="1"/>
    <col min="26" max="26" width="1.7109375" style="96" hidden="1" customWidth="1"/>
    <col min="27" max="27" width="8.7109375" style="96" hidden="1" customWidth="1"/>
    <col min="28" max="28" width="1.7109375" style="96" customWidth="1"/>
    <col min="29" max="29" width="9.7109375" style="96" customWidth="1"/>
    <col min="30" max="30" width="1.7109375" style="96" customWidth="1"/>
    <col min="31" max="31" width="9.7109375" style="96" customWidth="1"/>
    <col min="32" max="32" width="1.7109375" style="96" customWidth="1"/>
    <col min="33" max="33" width="10.7109375" style="96" customWidth="1"/>
    <col min="34" max="34" width="12.140625" style="96" customWidth="1"/>
    <col min="35" max="16384" width="9.140625" style="96"/>
  </cols>
  <sheetData>
    <row r="1" spans="1:40" s="19" customFormat="1">
      <c r="A1" s="18" t="s">
        <v>24</v>
      </c>
      <c r="B1" s="18"/>
      <c r="C1" s="18"/>
      <c r="D1" s="18"/>
      <c r="E1" s="18"/>
      <c r="G1" s="2"/>
      <c r="H1" s="2"/>
      <c r="I1" s="2"/>
      <c r="J1" s="2"/>
      <c r="K1" s="2"/>
      <c r="L1" s="2"/>
      <c r="M1" s="2"/>
      <c r="N1" s="2"/>
      <c r="O1" s="2"/>
      <c r="P1" s="6"/>
      <c r="Q1" s="2"/>
      <c r="R1" s="2"/>
      <c r="S1" s="2"/>
      <c r="T1" s="2"/>
      <c r="U1" s="2"/>
      <c r="V1" s="2"/>
      <c r="W1" s="2"/>
      <c r="X1" s="96"/>
      <c r="Y1" s="2"/>
      <c r="Z1" s="2"/>
      <c r="AA1" s="2"/>
      <c r="AB1" s="2"/>
      <c r="AC1" s="2"/>
      <c r="AD1" s="2"/>
      <c r="AE1" s="2"/>
    </row>
    <row r="2" spans="1:40" s="19" customFormat="1">
      <c r="A2" s="18" t="s">
        <v>391</v>
      </c>
      <c r="B2" s="18"/>
      <c r="C2" s="18"/>
      <c r="D2" s="18"/>
      <c r="E2" s="18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  <c r="U2" s="2"/>
      <c r="V2" s="2"/>
      <c r="W2" s="2"/>
      <c r="X2" s="96"/>
      <c r="Y2" s="2"/>
      <c r="Z2" s="2"/>
      <c r="AA2" s="2"/>
      <c r="AB2" s="2"/>
      <c r="AC2" s="2"/>
      <c r="AD2" s="2"/>
      <c r="AE2" s="2"/>
    </row>
    <row r="3" spans="1:40" s="19" customFormat="1">
      <c r="G3" s="2"/>
      <c r="H3" s="2"/>
      <c r="I3" s="2"/>
      <c r="J3" s="2"/>
      <c r="K3" s="2"/>
      <c r="L3" s="2"/>
      <c r="M3" s="2"/>
      <c r="N3" s="2"/>
      <c r="O3" s="2"/>
      <c r="P3" s="6"/>
      <c r="Q3" s="2"/>
      <c r="R3" s="2"/>
      <c r="S3" s="2"/>
      <c r="T3" s="2"/>
      <c r="U3" s="2"/>
      <c r="V3" s="2"/>
      <c r="W3" s="2"/>
      <c r="X3" s="96"/>
      <c r="Y3" s="2"/>
      <c r="Z3" s="2"/>
      <c r="AA3" s="2"/>
      <c r="AB3" s="2"/>
      <c r="AC3" s="2"/>
      <c r="AD3" s="2"/>
      <c r="AE3" s="2"/>
    </row>
    <row r="4" spans="1:40" s="19" customFormat="1">
      <c r="A4" s="18" t="s">
        <v>349</v>
      </c>
      <c r="B4" s="18"/>
      <c r="C4" s="18"/>
      <c r="D4" s="18"/>
      <c r="E4" s="18"/>
      <c r="G4" s="2"/>
      <c r="H4" s="2"/>
      <c r="I4" s="2"/>
      <c r="J4" s="2"/>
      <c r="K4" s="2"/>
      <c r="L4" s="2"/>
      <c r="M4" s="2"/>
      <c r="N4" s="2"/>
      <c r="O4" s="2"/>
      <c r="P4" s="6"/>
      <c r="Q4" s="2"/>
      <c r="R4" s="2"/>
      <c r="S4" s="2"/>
      <c r="T4" s="2"/>
      <c r="U4" s="2"/>
      <c r="V4" s="2"/>
      <c r="W4" s="2"/>
      <c r="X4" s="96"/>
      <c r="Y4" s="2"/>
      <c r="Z4" s="2"/>
      <c r="AA4" s="2"/>
      <c r="AB4" s="2"/>
      <c r="AC4" s="2"/>
      <c r="AD4" s="2"/>
      <c r="AE4" s="2"/>
    </row>
    <row r="5" spans="1:40" s="19" customFormat="1">
      <c r="A5" s="18"/>
      <c r="B5" s="18"/>
      <c r="C5" s="18"/>
      <c r="D5" s="18"/>
      <c r="E5" s="18"/>
      <c r="G5" s="2"/>
      <c r="H5" s="2"/>
      <c r="I5" s="2"/>
      <c r="J5" s="2"/>
      <c r="K5" s="2"/>
      <c r="L5" s="2"/>
      <c r="M5" s="2"/>
      <c r="N5" s="2"/>
      <c r="O5" s="2"/>
      <c r="P5" s="6"/>
      <c r="Q5" s="2"/>
      <c r="R5" s="2"/>
      <c r="S5" s="2"/>
      <c r="T5" s="2"/>
      <c r="U5" s="2"/>
      <c r="V5" s="2"/>
      <c r="W5" s="2"/>
      <c r="X5" s="96"/>
      <c r="Y5" s="2"/>
      <c r="Z5" s="2"/>
      <c r="AA5" s="2"/>
      <c r="AB5" s="2"/>
      <c r="AC5" s="2"/>
      <c r="AD5" s="2"/>
      <c r="AE5" s="2"/>
    </row>
    <row r="6" spans="1:40" s="19" customFormat="1">
      <c r="A6" s="18"/>
      <c r="B6" s="18"/>
      <c r="C6" s="18"/>
      <c r="D6" s="18"/>
      <c r="E6" s="18"/>
      <c r="G6" s="2"/>
      <c r="H6" s="2"/>
      <c r="I6" s="2"/>
      <c r="J6" s="2"/>
      <c r="K6" s="2"/>
      <c r="L6" s="2"/>
      <c r="M6" s="2"/>
      <c r="N6" s="2"/>
      <c r="O6" s="2"/>
      <c r="P6" s="6"/>
      <c r="Q6" s="2"/>
      <c r="R6" s="2"/>
      <c r="S6" s="2"/>
      <c r="T6" s="2"/>
      <c r="U6" s="2"/>
      <c r="V6" s="2"/>
      <c r="W6" s="2"/>
      <c r="X6" s="96"/>
      <c r="Y6" s="2"/>
      <c r="Z6" s="2"/>
      <c r="AA6" s="2"/>
      <c r="AB6" s="2"/>
      <c r="AC6" s="2"/>
      <c r="AD6" s="2"/>
      <c r="AE6" s="2"/>
    </row>
    <row r="7" spans="1:40" s="19" customFormat="1">
      <c r="A7" s="18"/>
      <c r="B7" s="18"/>
      <c r="C7" s="18"/>
      <c r="D7" s="18"/>
      <c r="E7" s="18"/>
      <c r="G7" s="2"/>
      <c r="H7" s="2"/>
      <c r="I7" s="2"/>
      <c r="J7" s="2"/>
      <c r="K7" s="2"/>
      <c r="L7" s="2"/>
      <c r="M7" s="2"/>
      <c r="N7" s="2"/>
      <c r="O7" s="2"/>
      <c r="P7" s="6"/>
      <c r="Q7" s="2"/>
      <c r="R7" s="2"/>
      <c r="S7" s="2"/>
      <c r="T7" s="2"/>
      <c r="U7" s="2"/>
      <c r="V7" s="2"/>
      <c r="W7" s="2"/>
      <c r="X7" s="96"/>
      <c r="Y7" s="2"/>
      <c r="Z7" s="2"/>
      <c r="AA7" s="2"/>
      <c r="AB7" s="2"/>
      <c r="AC7" s="2"/>
      <c r="AD7" s="2"/>
      <c r="AE7" s="2"/>
      <c r="AG7" s="19" t="s">
        <v>379</v>
      </c>
    </row>
    <row r="8" spans="1:40" s="21" customFormat="1">
      <c r="F8" s="47"/>
      <c r="G8" s="119" t="s">
        <v>25</v>
      </c>
      <c r="H8" s="119"/>
      <c r="I8" s="119"/>
      <c r="J8" s="119"/>
      <c r="K8" s="119"/>
      <c r="L8" s="8" t="s">
        <v>26</v>
      </c>
      <c r="M8" s="8"/>
      <c r="N8" s="7"/>
      <c r="O8" s="119" t="s">
        <v>27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08"/>
      <c r="AA8" s="7"/>
      <c r="AB8" s="7"/>
      <c r="AC8" s="7" t="s">
        <v>9</v>
      </c>
      <c r="AD8" s="7"/>
      <c r="AE8" s="7"/>
      <c r="AG8" s="21" t="s">
        <v>380</v>
      </c>
    </row>
    <row r="9" spans="1:40" s="21" customFormat="1">
      <c r="A9" s="83"/>
      <c r="G9" s="7"/>
      <c r="H9" s="7"/>
      <c r="I9" s="7" t="s">
        <v>28</v>
      </c>
      <c r="J9" s="7"/>
      <c r="K9" s="7"/>
      <c r="L9" s="7"/>
      <c r="M9" s="7"/>
      <c r="N9" s="7"/>
      <c r="O9" s="7"/>
      <c r="P9" s="8"/>
      <c r="Q9" s="7"/>
      <c r="R9" s="7"/>
      <c r="S9" s="7"/>
      <c r="T9" s="7"/>
      <c r="U9" s="7"/>
      <c r="V9" s="7"/>
      <c r="W9" s="7" t="s">
        <v>21</v>
      </c>
      <c r="X9" s="7"/>
      <c r="Y9" s="7"/>
      <c r="Z9" s="108"/>
      <c r="AA9" s="8"/>
      <c r="AB9" s="8"/>
      <c r="AC9" s="7" t="s">
        <v>29</v>
      </c>
      <c r="AD9" s="7"/>
      <c r="AE9" s="7"/>
      <c r="AG9" s="7" t="s">
        <v>381</v>
      </c>
    </row>
    <row r="10" spans="1:40" s="21" customFormat="1">
      <c r="G10" s="7"/>
      <c r="H10" s="7"/>
      <c r="I10" s="7" t="s">
        <v>30</v>
      </c>
      <c r="J10" s="7"/>
      <c r="K10" s="7"/>
      <c r="L10" s="7"/>
      <c r="M10" s="7" t="s">
        <v>9</v>
      </c>
      <c r="N10" s="7"/>
      <c r="P10" s="26"/>
      <c r="Q10" s="21" t="s">
        <v>21</v>
      </c>
      <c r="U10" s="21" t="s">
        <v>32</v>
      </c>
      <c r="W10" s="41" t="s">
        <v>33</v>
      </c>
      <c r="Z10" s="108"/>
      <c r="AC10" s="12" t="s">
        <v>35</v>
      </c>
      <c r="AD10" s="8"/>
      <c r="AE10" s="8" t="s">
        <v>34</v>
      </c>
      <c r="AG10" s="7" t="s">
        <v>382</v>
      </c>
    </row>
    <row r="11" spans="1:40" s="21" customFormat="1">
      <c r="A11" s="41"/>
      <c r="B11" s="41"/>
      <c r="C11" s="41"/>
      <c r="D11" s="41"/>
      <c r="E11" s="41"/>
      <c r="F11" s="41"/>
      <c r="G11" s="7" t="s">
        <v>36</v>
      </c>
      <c r="H11" s="7"/>
      <c r="I11" s="7" t="s">
        <v>33</v>
      </c>
      <c r="J11" s="7"/>
      <c r="K11" s="7" t="s">
        <v>7</v>
      </c>
      <c r="L11" s="7"/>
      <c r="M11" s="7" t="s">
        <v>37</v>
      </c>
      <c r="N11" s="7"/>
      <c r="O11" s="8" t="s">
        <v>38</v>
      </c>
      <c r="P11" s="8"/>
      <c r="Q11" s="8" t="s">
        <v>39</v>
      </c>
      <c r="R11" s="8"/>
      <c r="S11" s="7" t="s">
        <v>40</v>
      </c>
      <c r="T11" s="7"/>
      <c r="U11" s="8" t="s">
        <v>43</v>
      </c>
      <c r="V11" s="8"/>
      <c r="W11" s="41" t="s">
        <v>44</v>
      </c>
      <c r="X11" s="8"/>
      <c r="Y11" s="7"/>
      <c r="Z11" s="108"/>
      <c r="AA11" s="12" t="s">
        <v>45</v>
      </c>
      <c r="AB11" s="12"/>
      <c r="AC11" s="8" t="s">
        <v>44</v>
      </c>
      <c r="AD11" s="7"/>
      <c r="AE11" s="7" t="s">
        <v>46</v>
      </c>
      <c r="AG11" s="7" t="s">
        <v>34</v>
      </c>
    </row>
    <row r="12" spans="1:40" s="21" customFormat="1">
      <c r="A12" s="23" t="s">
        <v>434</v>
      </c>
      <c r="C12" s="23" t="s">
        <v>13</v>
      </c>
      <c r="E12" s="23" t="s">
        <v>14</v>
      </c>
      <c r="F12" s="42"/>
      <c r="G12" s="105" t="s">
        <v>47</v>
      </c>
      <c r="H12" s="7"/>
      <c r="I12" s="105" t="s">
        <v>48</v>
      </c>
      <c r="J12" s="7"/>
      <c r="K12" s="105" t="s">
        <v>49</v>
      </c>
      <c r="L12" s="8"/>
      <c r="M12" s="105" t="s">
        <v>35</v>
      </c>
      <c r="N12" s="7"/>
      <c r="O12" s="105" t="s">
        <v>50</v>
      </c>
      <c r="P12" s="8"/>
      <c r="Q12" s="105" t="s">
        <v>51</v>
      </c>
      <c r="R12" s="8"/>
      <c r="S12" s="11" t="s">
        <v>52</v>
      </c>
      <c r="T12" s="12"/>
      <c r="U12" s="105" t="s">
        <v>50</v>
      </c>
      <c r="V12" s="8"/>
      <c r="W12" s="55" t="s">
        <v>55</v>
      </c>
      <c r="X12" s="7"/>
      <c r="Y12" s="11" t="s">
        <v>386</v>
      </c>
      <c r="Z12" s="108"/>
      <c r="AA12" s="23" t="s">
        <v>319</v>
      </c>
      <c r="AB12" s="26"/>
      <c r="AC12" s="105" t="s">
        <v>71</v>
      </c>
      <c r="AD12" s="7"/>
      <c r="AE12" s="105" t="s">
        <v>56</v>
      </c>
      <c r="AF12" s="26"/>
      <c r="AG12" s="105" t="s">
        <v>318</v>
      </c>
    </row>
    <row r="13" spans="1:40" s="21" customFormat="1">
      <c r="A13" s="26"/>
      <c r="C13" s="26"/>
      <c r="E13" s="26"/>
      <c r="F13" s="42"/>
      <c r="G13" s="8"/>
      <c r="H13" s="7"/>
      <c r="I13" s="8"/>
      <c r="J13" s="7"/>
      <c r="K13" s="8"/>
      <c r="L13" s="8"/>
      <c r="M13" s="8"/>
      <c r="N13" s="7"/>
      <c r="O13" s="8"/>
      <c r="P13" s="8"/>
      <c r="Q13" s="8"/>
      <c r="R13" s="8"/>
      <c r="S13" s="12"/>
      <c r="T13" s="12"/>
      <c r="U13" s="8"/>
      <c r="V13" s="8"/>
      <c r="W13" s="42"/>
      <c r="X13" s="7"/>
      <c r="Y13" s="12"/>
      <c r="Z13" s="108"/>
      <c r="AA13" s="26"/>
      <c r="AB13" s="26"/>
      <c r="AC13" s="8"/>
      <c r="AD13" s="7"/>
      <c r="AE13" s="8"/>
      <c r="AF13" s="26"/>
      <c r="AG13" s="8"/>
    </row>
    <row r="14" spans="1:40" s="21" customFormat="1">
      <c r="A14" s="54" t="s">
        <v>346</v>
      </c>
      <c r="C14" s="26"/>
      <c r="E14" s="26"/>
      <c r="F14" s="42"/>
      <c r="G14" s="8"/>
      <c r="H14" s="7"/>
      <c r="I14" s="8"/>
      <c r="J14" s="7"/>
      <c r="K14" s="8"/>
      <c r="L14" s="8"/>
      <c r="M14" s="8"/>
      <c r="N14" s="7"/>
      <c r="O14" s="8"/>
      <c r="P14" s="8"/>
      <c r="Q14" s="8"/>
      <c r="R14" s="8"/>
      <c r="S14" s="12"/>
      <c r="T14" s="12"/>
      <c r="U14" s="8"/>
      <c r="V14" s="8"/>
      <c r="W14" s="42"/>
      <c r="X14" s="7"/>
      <c r="Y14" s="12"/>
      <c r="Z14" s="108"/>
      <c r="AA14" s="26"/>
      <c r="AB14" s="26"/>
      <c r="AC14" s="8"/>
      <c r="AD14" s="7"/>
      <c r="AE14" s="7"/>
      <c r="AG14" s="8"/>
    </row>
    <row r="15" spans="1:40" s="83" customFormat="1" hidden="1">
      <c r="A15" s="13" t="s">
        <v>399</v>
      </c>
      <c r="B15" s="13"/>
      <c r="C15" s="13" t="s">
        <v>365</v>
      </c>
      <c r="E15" s="84"/>
      <c r="F15" s="42"/>
      <c r="G15" s="81">
        <v>3970481</v>
      </c>
      <c r="H15" s="81"/>
      <c r="I15" s="81">
        <v>2957293</v>
      </c>
      <c r="J15" s="81"/>
      <c r="K15" s="81">
        <v>0</v>
      </c>
      <c r="L15" s="81"/>
      <c r="M15" s="81">
        <f>SUM(G15:L15)</f>
        <v>6927774</v>
      </c>
      <c r="N15" s="81"/>
      <c r="O15" s="81">
        <f>3156792+699539</f>
        <v>3856331</v>
      </c>
      <c r="P15" s="85"/>
      <c r="Q15" s="81">
        <v>4396726</v>
      </c>
      <c r="R15" s="81"/>
      <c r="S15" s="81">
        <v>191940</v>
      </c>
      <c r="T15" s="81"/>
      <c r="U15" s="81">
        <v>0</v>
      </c>
      <c r="V15" s="81"/>
      <c r="W15" s="81">
        <v>0</v>
      </c>
      <c r="X15" s="81"/>
      <c r="Y15" s="81">
        <v>259558</v>
      </c>
      <c r="Z15" s="109"/>
      <c r="AA15" s="81">
        <v>0</v>
      </c>
      <c r="AB15" s="81"/>
      <c r="AC15" s="81">
        <f t="shared" ref="AC15:AC22" si="0">SUM(O15:AA15)</f>
        <v>8704555</v>
      </c>
      <c r="AD15" s="81"/>
      <c r="AE15" s="81">
        <v>0</v>
      </c>
      <c r="AF15" s="81"/>
      <c r="AG15" s="81">
        <f t="shared" ref="AG15:AG46" si="1">+AC15+M15</f>
        <v>15632329</v>
      </c>
      <c r="AH15" s="60" t="s">
        <v>400</v>
      </c>
      <c r="AI15" s="99"/>
      <c r="AJ15" s="99"/>
      <c r="AK15" s="99"/>
      <c r="AL15" s="99"/>
      <c r="AM15" s="99"/>
      <c r="AN15" s="99"/>
    </row>
    <row r="16" spans="1:40" s="99" customFormat="1">
      <c r="A16" s="13" t="s">
        <v>323</v>
      </c>
      <c r="B16" s="60"/>
      <c r="C16" s="60" t="s">
        <v>155</v>
      </c>
      <c r="E16" s="60">
        <v>62042</v>
      </c>
      <c r="G16" s="81">
        <v>703592</v>
      </c>
      <c r="H16" s="81"/>
      <c r="I16" s="81">
        <v>1425273</v>
      </c>
      <c r="J16" s="81"/>
      <c r="K16" s="81">
        <v>91420</v>
      </c>
      <c r="L16" s="81"/>
      <c r="M16" s="81">
        <f>SUM(G16:L16)</f>
        <v>2220285</v>
      </c>
      <c r="N16" s="81"/>
      <c r="O16" s="81">
        <v>3035058</v>
      </c>
      <c r="P16" s="85"/>
      <c r="Q16" s="81">
        <v>2701298</v>
      </c>
      <c r="R16" s="81"/>
      <c r="S16" s="81">
        <v>0</v>
      </c>
      <c r="T16" s="81"/>
      <c r="U16" s="81">
        <v>0</v>
      </c>
      <c r="V16" s="81"/>
      <c r="W16" s="81">
        <v>0</v>
      </c>
      <c r="X16" s="81"/>
      <c r="Y16" s="81">
        <v>147656</v>
      </c>
      <c r="Z16" s="109"/>
      <c r="AA16" s="81"/>
      <c r="AB16" s="81"/>
      <c r="AC16" s="81">
        <f t="shared" si="0"/>
        <v>5884012</v>
      </c>
      <c r="AD16" s="81"/>
      <c r="AE16" s="81">
        <v>0</v>
      </c>
      <c r="AF16" s="81"/>
      <c r="AG16" s="81">
        <f t="shared" si="1"/>
        <v>8104297</v>
      </c>
      <c r="AH16" s="13" t="s">
        <v>401</v>
      </c>
    </row>
    <row r="17" spans="1:34" s="99" customFormat="1">
      <c r="A17" s="13" t="s">
        <v>265</v>
      </c>
      <c r="B17" s="60"/>
      <c r="C17" s="60" t="s">
        <v>156</v>
      </c>
      <c r="E17" s="60">
        <v>50815</v>
      </c>
      <c r="G17" s="13">
        <v>1202932</v>
      </c>
      <c r="H17" s="13"/>
      <c r="I17" s="13">
        <v>2569088</v>
      </c>
      <c r="J17" s="13"/>
      <c r="K17" s="13">
        <v>93440</v>
      </c>
      <c r="L17" s="13"/>
      <c r="M17" s="13">
        <f>SUM(G17:L17)</f>
        <v>3865460</v>
      </c>
      <c r="N17" s="13"/>
      <c r="O17" s="13">
        <v>4134680</v>
      </c>
      <c r="P17" s="10"/>
      <c r="Q17" s="13">
        <v>6501446</v>
      </c>
      <c r="R17" s="13"/>
      <c r="S17" s="13">
        <v>259710</v>
      </c>
      <c r="T17" s="13"/>
      <c r="U17" s="13">
        <v>0</v>
      </c>
      <c r="V17" s="13"/>
      <c r="W17" s="13">
        <v>0</v>
      </c>
      <c r="X17" s="13"/>
      <c r="Y17" s="13">
        <v>157691</v>
      </c>
      <c r="AA17" s="13"/>
      <c r="AB17" s="13"/>
      <c r="AC17" s="13">
        <f t="shared" si="0"/>
        <v>11053527</v>
      </c>
      <c r="AD17" s="13"/>
      <c r="AE17" s="13">
        <v>0</v>
      </c>
      <c r="AF17" s="60"/>
      <c r="AG17" s="13">
        <f t="shared" si="1"/>
        <v>14918987</v>
      </c>
      <c r="AH17" s="13" t="s">
        <v>401</v>
      </c>
    </row>
    <row r="18" spans="1:34" s="99" customFormat="1">
      <c r="A18" s="13" t="s">
        <v>277</v>
      </c>
      <c r="B18" s="60"/>
      <c r="C18" s="60" t="s">
        <v>158</v>
      </c>
      <c r="E18" s="60">
        <v>51169</v>
      </c>
      <c r="G18" s="13">
        <v>1679209</v>
      </c>
      <c r="H18" s="13"/>
      <c r="I18" s="13">
        <v>540121</v>
      </c>
      <c r="J18" s="13"/>
      <c r="K18" s="13">
        <v>0</v>
      </c>
      <c r="L18" s="13"/>
      <c r="M18" s="13">
        <f t="shared" ref="M18:M86" si="2">SUM(G18:L18)</f>
        <v>2219330</v>
      </c>
      <c r="N18" s="13"/>
      <c r="O18" s="13">
        <v>6327878</v>
      </c>
      <c r="P18" s="10"/>
      <c r="Q18" s="13">
        <v>3260105</v>
      </c>
      <c r="R18" s="13"/>
      <c r="S18" s="13">
        <v>152098</v>
      </c>
      <c r="T18" s="13"/>
      <c r="U18" s="13">
        <v>0</v>
      </c>
      <c r="V18" s="13"/>
      <c r="W18" s="13">
        <v>0</v>
      </c>
      <c r="X18" s="13"/>
      <c r="Y18" s="13">
        <v>277750</v>
      </c>
      <c r="AA18" s="13"/>
      <c r="AB18" s="13"/>
      <c r="AC18" s="13">
        <f t="shared" si="0"/>
        <v>10017831</v>
      </c>
      <c r="AD18" s="13"/>
      <c r="AE18" s="13">
        <v>0</v>
      </c>
      <c r="AF18" s="60"/>
      <c r="AG18" s="13">
        <f t="shared" si="1"/>
        <v>12237161</v>
      </c>
      <c r="AH18" s="13" t="s">
        <v>401</v>
      </c>
    </row>
    <row r="19" spans="1:34" s="99" customFormat="1">
      <c r="A19" s="13" t="s">
        <v>267</v>
      </c>
      <c r="B19" s="60"/>
      <c r="C19" s="60" t="s">
        <v>162</v>
      </c>
      <c r="E19" s="60">
        <v>50856</v>
      </c>
      <c r="G19" s="13">
        <v>186973</v>
      </c>
      <c r="H19" s="13"/>
      <c r="I19" s="13">
        <v>1093429</v>
      </c>
      <c r="J19" s="13"/>
      <c r="K19" s="13">
        <v>0</v>
      </c>
      <c r="L19" s="13"/>
      <c r="M19" s="13">
        <f t="shared" si="2"/>
        <v>1280402</v>
      </c>
      <c r="N19" s="13"/>
      <c r="O19" s="13">
        <v>1451633</v>
      </c>
      <c r="P19" s="10"/>
      <c r="Q19" s="13">
        <v>4046130</v>
      </c>
      <c r="R19" s="13"/>
      <c r="S19" s="13">
        <v>20503</v>
      </c>
      <c r="T19" s="13"/>
      <c r="U19" s="13">
        <v>0</v>
      </c>
      <c r="V19" s="13"/>
      <c r="W19" s="13">
        <v>0</v>
      </c>
      <c r="X19" s="13"/>
      <c r="Y19" s="13">
        <v>18779</v>
      </c>
      <c r="AA19" s="13"/>
      <c r="AB19" s="13"/>
      <c r="AC19" s="13">
        <f t="shared" si="0"/>
        <v>5537045</v>
      </c>
      <c r="AD19" s="13"/>
      <c r="AE19" s="13">
        <v>0</v>
      </c>
      <c r="AF19" s="60"/>
      <c r="AG19" s="13">
        <f t="shared" si="1"/>
        <v>6817447</v>
      </c>
      <c r="AH19" s="13" t="s">
        <v>401</v>
      </c>
    </row>
    <row r="20" spans="1:34">
      <c r="A20" s="13" t="s">
        <v>290</v>
      </c>
      <c r="B20" s="19"/>
      <c r="C20" s="19" t="s">
        <v>254</v>
      </c>
      <c r="E20" s="19">
        <v>51656</v>
      </c>
      <c r="G20" s="2">
        <v>2077034</v>
      </c>
      <c r="H20" s="2"/>
      <c r="I20" s="2">
        <v>1945153</v>
      </c>
      <c r="J20" s="2"/>
      <c r="K20" s="2">
        <v>0</v>
      </c>
      <c r="L20" s="2"/>
      <c r="M20" s="2">
        <f t="shared" si="2"/>
        <v>4022187</v>
      </c>
      <c r="N20" s="2"/>
      <c r="O20" s="2">
        <v>4404493</v>
      </c>
      <c r="P20" s="6"/>
      <c r="Q20" s="2">
        <v>7016251</v>
      </c>
      <c r="R20" s="2"/>
      <c r="S20" s="2">
        <v>355261</v>
      </c>
      <c r="T20" s="2"/>
      <c r="U20" s="2">
        <v>0</v>
      </c>
      <c r="V20" s="2"/>
      <c r="W20" s="2">
        <v>0</v>
      </c>
      <c r="X20" s="2"/>
      <c r="Y20" s="2">
        <v>11514</v>
      </c>
      <c r="AA20" s="2"/>
      <c r="AB20" s="2"/>
      <c r="AC20" s="2">
        <f t="shared" si="0"/>
        <v>11787519</v>
      </c>
      <c r="AD20" s="2"/>
      <c r="AE20" s="2">
        <v>0</v>
      </c>
      <c r="AF20" s="19"/>
      <c r="AG20" s="2">
        <f t="shared" si="1"/>
        <v>15809706</v>
      </c>
    </row>
    <row r="21" spans="1:34">
      <c r="A21" s="13" t="s">
        <v>388</v>
      </c>
      <c r="B21" s="19"/>
      <c r="C21" s="19" t="s">
        <v>159</v>
      </c>
      <c r="E21" s="19">
        <v>50880</v>
      </c>
      <c r="G21" s="2">
        <v>944698</v>
      </c>
      <c r="H21" s="2"/>
      <c r="I21" s="2">
        <v>1106738</v>
      </c>
      <c r="J21" s="2"/>
      <c r="K21" s="2">
        <v>0</v>
      </c>
      <c r="L21" s="2"/>
      <c r="M21" s="2">
        <f t="shared" si="2"/>
        <v>2051436</v>
      </c>
      <c r="N21" s="2"/>
      <c r="O21" s="2">
        <v>13678050</v>
      </c>
      <c r="P21" s="6"/>
      <c r="Q21" s="2">
        <v>24750303</v>
      </c>
      <c r="R21" s="2"/>
      <c r="S21" s="2">
        <v>471361</v>
      </c>
      <c r="T21" s="2"/>
      <c r="U21" s="2">
        <v>0</v>
      </c>
      <c r="V21" s="2"/>
      <c r="W21" s="2">
        <v>0</v>
      </c>
      <c r="X21" s="2"/>
      <c r="Y21" s="2">
        <v>1093010</v>
      </c>
      <c r="AA21" s="2"/>
      <c r="AB21" s="2"/>
      <c r="AC21" s="2">
        <f t="shared" si="0"/>
        <v>39992724</v>
      </c>
      <c r="AD21" s="2"/>
      <c r="AE21" s="2">
        <v>0</v>
      </c>
      <c r="AF21" s="19"/>
      <c r="AG21" s="2">
        <f t="shared" si="1"/>
        <v>42044160</v>
      </c>
    </row>
    <row r="22" spans="1:34" s="99" customFormat="1" hidden="1">
      <c r="A22" s="17" t="s">
        <v>396</v>
      </c>
      <c r="B22" s="60"/>
      <c r="C22" s="60" t="s">
        <v>282</v>
      </c>
      <c r="E22" s="60">
        <v>63511</v>
      </c>
      <c r="G22" s="13"/>
      <c r="H22" s="13"/>
      <c r="I22" s="13"/>
      <c r="J22" s="13"/>
      <c r="K22" s="13"/>
      <c r="L22" s="13"/>
      <c r="M22" s="13">
        <f t="shared" si="2"/>
        <v>0</v>
      </c>
      <c r="N22" s="13"/>
      <c r="O22" s="13"/>
      <c r="P22" s="10"/>
      <c r="Q22" s="13"/>
      <c r="R22" s="13"/>
      <c r="S22" s="13"/>
      <c r="T22" s="13"/>
      <c r="U22" s="13"/>
      <c r="V22" s="13"/>
      <c r="W22" s="13"/>
      <c r="X22" s="13"/>
      <c r="Y22" s="13"/>
      <c r="AA22" s="13"/>
      <c r="AB22" s="13"/>
      <c r="AC22" s="13">
        <f t="shared" si="0"/>
        <v>0</v>
      </c>
      <c r="AD22" s="13"/>
      <c r="AE22" s="13">
        <v>0</v>
      </c>
      <c r="AF22" s="60"/>
      <c r="AG22" s="13">
        <f t="shared" si="1"/>
        <v>0</v>
      </c>
      <c r="AH22" s="80" t="s">
        <v>397</v>
      </c>
    </row>
    <row r="23" spans="1:34">
      <c r="A23" s="13" t="s">
        <v>392</v>
      </c>
      <c r="B23" s="19"/>
      <c r="C23" s="19" t="s">
        <v>175</v>
      </c>
      <c r="E23" s="19">
        <v>50906</v>
      </c>
      <c r="G23" s="2">
        <v>988380</v>
      </c>
      <c r="H23" s="2"/>
      <c r="I23" s="2">
        <v>852005</v>
      </c>
      <c r="J23" s="2"/>
      <c r="K23" s="2">
        <v>0</v>
      </c>
      <c r="L23" s="2"/>
      <c r="M23" s="2">
        <f t="shared" si="2"/>
        <v>1840385</v>
      </c>
      <c r="N23" s="2"/>
      <c r="O23" s="2">
        <v>1800576</v>
      </c>
      <c r="P23" s="6"/>
      <c r="Q23" s="2">
        <v>3490200</v>
      </c>
      <c r="R23" s="2"/>
      <c r="S23" s="2">
        <v>87086</v>
      </c>
      <c r="T23" s="2"/>
      <c r="U23" s="2">
        <v>0</v>
      </c>
      <c r="V23" s="2"/>
      <c r="W23" s="2">
        <v>0</v>
      </c>
      <c r="X23" s="2"/>
      <c r="Y23" s="2">
        <v>9320</v>
      </c>
      <c r="AA23" s="2"/>
      <c r="AB23" s="2"/>
      <c r="AC23" s="2">
        <f t="shared" ref="AC23:AC65" si="3">SUM(O23:AA23)</f>
        <v>5387182</v>
      </c>
      <c r="AD23" s="2"/>
      <c r="AE23" s="2">
        <v>0</v>
      </c>
      <c r="AF23" s="19"/>
      <c r="AG23" s="2">
        <f t="shared" si="1"/>
        <v>7227567</v>
      </c>
    </row>
    <row r="24" spans="1:34">
      <c r="A24" s="13" t="s">
        <v>328</v>
      </c>
      <c r="B24" s="19"/>
      <c r="C24" s="19" t="s">
        <v>272</v>
      </c>
      <c r="E24" s="19">
        <v>65227</v>
      </c>
      <c r="G24" s="2">
        <v>99900</v>
      </c>
      <c r="H24" s="2"/>
      <c r="I24" s="2">
        <v>345609</v>
      </c>
      <c r="J24" s="2"/>
      <c r="K24" s="2">
        <v>0</v>
      </c>
      <c r="L24" s="2"/>
      <c r="M24" s="2">
        <f t="shared" si="2"/>
        <v>445509</v>
      </c>
      <c r="N24" s="2"/>
      <c r="O24" s="2">
        <v>1224644</v>
      </c>
      <c r="P24" s="6"/>
      <c r="Q24" s="2">
        <v>2187094</v>
      </c>
      <c r="R24" s="2"/>
      <c r="S24" s="2">
        <v>0</v>
      </c>
      <c r="T24" s="2"/>
      <c r="U24" s="2">
        <v>0</v>
      </c>
      <c r="V24" s="2"/>
      <c r="W24" s="2">
        <v>0</v>
      </c>
      <c r="X24" s="2"/>
      <c r="Y24" s="2">
        <v>30152</v>
      </c>
      <c r="AA24" s="2"/>
      <c r="AB24" s="2"/>
      <c r="AC24" s="2">
        <f t="shared" si="3"/>
        <v>3441890</v>
      </c>
      <c r="AD24" s="2"/>
      <c r="AE24" s="2">
        <v>0</v>
      </c>
      <c r="AF24" s="19"/>
      <c r="AG24" s="2">
        <f t="shared" si="1"/>
        <v>3887399</v>
      </c>
    </row>
    <row r="25" spans="1:34" s="99" customFormat="1">
      <c r="A25" s="13" t="s">
        <v>403</v>
      </c>
      <c r="B25" s="60"/>
      <c r="C25" s="60" t="s">
        <v>207</v>
      </c>
      <c r="E25" s="60">
        <v>51201</v>
      </c>
      <c r="G25" s="13">
        <v>2358704</v>
      </c>
      <c r="H25" s="13"/>
      <c r="I25" s="13">
        <v>2871370</v>
      </c>
      <c r="J25" s="13"/>
      <c r="K25" s="13">
        <v>0</v>
      </c>
      <c r="L25" s="13"/>
      <c r="M25" s="13">
        <f t="shared" si="2"/>
        <v>5230074</v>
      </c>
      <c r="N25" s="13"/>
      <c r="O25" s="13">
        <f>9219294+1415</f>
        <v>9220709</v>
      </c>
      <c r="P25" s="10"/>
      <c r="Q25" s="13">
        <v>4079137</v>
      </c>
      <c r="R25" s="13"/>
      <c r="S25" s="13">
        <v>89316</v>
      </c>
      <c r="T25" s="13"/>
      <c r="U25" s="13">
        <v>0</v>
      </c>
      <c r="V25" s="13"/>
      <c r="W25" s="13">
        <v>0</v>
      </c>
      <c r="X25" s="13"/>
      <c r="Y25" s="13">
        <v>95253</v>
      </c>
      <c r="AA25" s="13"/>
      <c r="AB25" s="13"/>
      <c r="AC25" s="13">
        <f t="shared" si="3"/>
        <v>13484415</v>
      </c>
      <c r="AD25" s="13"/>
      <c r="AE25" s="13">
        <v>0</v>
      </c>
      <c r="AF25" s="60"/>
      <c r="AG25" s="13">
        <f t="shared" si="1"/>
        <v>18714489</v>
      </c>
      <c r="AH25" s="13" t="s">
        <v>401</v>
      </c>
    </row>
    <row r="26" spans="1:34">
      <c r="A26" s="2" t="s">
        <v>325</v>
      </c>
      <c r="B26" s="19"/>
      <c r="C26" s="19" t="s">
        <v>177</v>
      </c>
      <c r="E26" s="19">
        <v>50922</v>
      </c>
      <c r="G26" s="2">
        <v>1880160</v>
      </c>
      <c r="H26" s="2"/>
      <c r="I26" s="2">
        <v>863369</v>
      </c>
      <c r="J26" s="2"/>
      <c r="K26" s="2">
        <v>0</v>
      </c>
      <c r="L26" s="2"/>
      <c r="M26" s="2">
        <f t="shared" si="2"/>
        <v>2743529</v>
      </c>
      <c r="N26" s="2"/>
      <c r="O26" s="2">
        <v>11336050</v>
      </c>
      <c r="P26" s="6"/>
      <c r="Q26" s="2">
        <v>3978170</v>
      </c>
      <c r="R26" s="2"/>
      <c r="S26" s="2">
        <v>219421</v>
      </c>
      <c r="T26" s="2"/>
      <c r="U26" s="2">
        <v>0</v>
      </c>
      <c r="V26" s="2"/>
      <c r="W26" s="2">
        <v>0</v>
      </c>
      <c r="X26" s="2"/>
      <c r="Y26" s="2">
        <v>11862</v>
      </c>
      <c r="AA26" s="2"/>
      <c r="AB26" s="2"/>
      <c r="AC26" s="2">
        <f t="shared" si="3"/>
        <v>15545503</v>
      </c>
      <c r="AD26" s="2"/>
      <c r="AE26" s="2">
        <v>0</v>
      </c>
      <c r="AF26" s="19"/>
      <c r="AG26" s="2">
        <f t="shared" si="1"/>
        <v>18289032</v>
      </c>
    </row>
    <row r="27" spans="1:34">
      <c r="A27" s="2" t="s">
        <v>324</v>
      </c>
      <c r="B27" s="19"/>
      <c r="C27" s="19" t="s">
        <v>181</v>
      </c>
      <c r="E27" s="19">
        <v>50989</v>
      </c>
      <c r="G27" s="2">
        <v>2087071</v>
      </c>
      <c r="H27" s="2"/>
      <c r="I27" s="2">
        <v>1456235</v>
      </c>
      <c r="J27" s="2"/>
      <c r="K27" s="2">
        <v>0</v>
      </c>
      <c r="L27" s="2"/>
      <c r="M27" s="2">
        <f t="shared" si="2"/>
        <v>3543306</v>
      </c>
      <c r="N27" s="2"/>
      <c r="O27" s="2">
        <v>9681072</v>
      </c>
      <c r="P27" s="6"/>
      <c r="Q27" s="2">
        <v>4138639</v>
      </c>
      <c r="R27" s="2"/>
      <c r="S27" s="2">
        <v>401148</v>
      </c>
      <c r="T27" s="2"/>
      <c r="U27" s="2">
        <v>10000</v>
      </c>
      <c r="V27" s="2"/>
      <c r="W27" s="2">
        <v>0</v>
      </c>
      <c r="X27" s="2"/>
      <c r="Y27" s="2">
        <v>194614</v>
      </c>
      <c r="AA27" s="2"/>
      <c r="AB27" s="2"/>
      <c r="AC27" s="2">
        <f t="shared" si="3"/>
        <v>14425473</v>
      </c>
      <c r="AD27" s="2"/>
      <c r="AE27" s="2">
        <v>0</v>
      </c>
      <c r="AF27" s="19"/>
      <c r="AG27" s="2">
        <f t="shared" si="1"/>
        <v>17968779</v>
      </c>
    </row>
    <row r="28" spans="1:34">
      <c r="A28" s="2" t="s">
        <v>326</v>
      </c>
      <c r="B28" s="19"/>
      <c r="C28" s="19" t="s">
        <v>186</v>
      </c>
      <c r="E28" s="19">
        <v>51003</v>
      </c>
      <c r="G28" s="2">
        <v>3904651</v>
      </c>
      <c r="H28" s="2"/>
      <c r="I28" s="2">
        <v>1890025</v>
      </c>
      <c r="J28" s="2"/>
      <c r="K28" s="2">
        <v>0</v>
      </c>
      <c r="L28" s="2"/>
      <c r="M28" s="2">
        <f t="shared" si="2"/>
        <v>5794676</v>
      </c>
      <c r="N28" s="2"/>
      <c r="O28" s="2">
        <v>14200778</v>
      </c>
      <c r="P28" s="6"/>
      <c r="Q28" s="2">
        <v>6508218</v>
      </c>
      <c r="R28" s="2"/>
      <c r="S28" s="2">
        <v>450688</v>
      </c>
      <c r="T28" s="2"/>
      <c r="U28" s="2">
        <v>0</v>
      </c>
      <c r="V28" s="2"/>
      <c r="W28" s="2">
        <v>250</v>
      </c>
      <c r="X28" s="2"/>
      <c r="Y28" s="2">
        <v>85011</v>
      </c>
      <c r="AA28" s="2"/>
      <c r="AB28" s="2"/>
      <c r="AC28" s="2">
        <f t="shared" si="3"/>
        <v>21244945</v>
      </c>
      <c r="AD28" s="2"/>
      <c r="AE28" s="2">
        <v>0</v>
      </c>
      <c r="AF28" s="19"/>
      <c r="AG28" s="2">
        <f t="shared" si="1"/>
        <v>27039621</v>
      </c>
    </row>
    <row r="29" spans="1:34" s="99" customFormat="1">
      <c r="A29" s="13" t="s">
        <v>327</v>
      </c>
      <c r="B29" s="60"/>
      <c r="C29" s="60" t="s">
        <v>183</v>
      </c>
      <c r="E29" s="60">
        <v>51029</v>
      </c>
      <c r="G29" s="13">
        <v>2753642</v>
      </c>
      <c r="H29" s="13"/>
      <c r="I29" s="13">
        <v>2792592</v>
      </c>
      <c r="J29" s="13"/>
      <c r="K29" s="13">
        <v>0</v>
      </c>
      <c r="L29" s="13"/>
      <c r="M29" s="13">
        <f t="shared" si="2"/>
        <v>5546234</v>
      </c>
      <c r="N29" s="13"/>
      <c r="O29" s="13">
        <v>5848567</v>
      </c>
      <c r="P29" s="10"/>
      <c r="Q29" s="13">
        <v>5522709</v>
      </c>
      <c r="R29" s="13"/>
      <c r="S29" s="13">
        <v>142888</v>
      </c>
      <c r="T29" s="13"/>
      <c r="U29" s="13">
        <v>0</v>
      </c>
      <c r="V29" s="13"/>
      <c r="W29" s="13">
        <v>0</v>
      </c>
      <c r="X29" s="13"/>
      <c r="Y29" s="13">
        <v>141402</v>
      </c>
      <c r="AA29" s="13"/>
      <c r="AB29" s="13"/>
      <c r="AC29" s="13">
        <f t="shared" si="3"/>
        <v>11655566</v>
      </c>
      <c r="AD29" s="13"/>
      <c r="AE29" s="13">
        <v>0</v>
      </c>
      <c r="AF29" s="60"/>
      <c r="AG29" s="13">
        <f t="shared" si="1"/>
        <v>17201800</v>
      </c>
      <c r="AH29" s="13" t="s">
        <v>401</v>
      </c>
    </row>
    <row r="30" spans="1:34">
      <c r="A30" s="2" t="s">
        <v>329</v>
      </c>
      <c r="B30" s="19"/>
      <c r="C30" s="19" t="s">
        <v>275</v>
      </c>
      <c r="E30" s="19">
        <v>50963</v>
      </c>
      <c r="G30" s="2">
        <v>1322863</v>
      </c>
      <c r="H30" s="2"/>
      <c r="I30" s="2">
        <v>3208794</v>
      </c>
      <c r="J30" s="2"/>
      <c r="K30" s="2">
        <v>0</v>
      </c>
      <c r="L30" s="2"/>
      <c r="M30" s="2">
        <f t="shared" si="2"/>
        <v>4531657</v>
      </c>
      <c r="N30" s="2"/>
      <c r="O30" s="2">
        <v>5676723</v>
      </c>
      <c r="P30" s="6"/>
      <c r="Q30" s="2">
        <v>6749720</v>
      </c>
      <c r="R30" s="2"/>
      <c r="S30" s="2">
        <v>394421</v>
      </c>
      <c r="T30" s="2"/>
      <c r="U30" s="2">
        <v>0</v>
      </c>
      <c r="V30" s="2"/>
      <c r="W30" s="2">
        <v>85665</v>
      </c>
      <c r="X30" s="2"/>
      <c r="Y30" s="2">
        <v>25943</v>
      </c>
      <c r="AA30" s="2"/>
      <c r="AB30" s="2"/>
      <c r="AC30" s="2">
        <f t="shared" si="3"/>
        <v>12932472</v>
      </c>
      <c r="AD30" s="2"/>
      <c r="AE30" s="2">
        <v>0</v>
      </c>
      <c r="AF30" s="19"/>
      <c r="AG30" s="2">
        <f t="shared" si="1"/>
        <v>17464129</v>
      </c>
    </row>
    <row r="31" spans="1:34">
      <c r="A31" s="2" t="s">
        <v>273</v>
      </c>
      <c r="B31" s="19"/>
      <c r="C31" s="19" t="s">
        <v>189</v>
      </c>
      <c r="E31" s="19">
        <v>62067</v>
      </c>
      <c r="G31" s="2">
        <v>1752799</v>
      </c>
      <c r="H31" s="2"/>
      <c r="I31" s="2">
        <v>4472424</v>
      </c>
      <c r="J31" s="2"/>
      <c r="K31" s="2">
        <v>0</v>
      </c>
      <c r="L31" s="2"/>
      <c r="M31" s="2">
        <f t="shared" si="2"/>
        <v>6225223</v>
      </c>
      <c r="N31" s="2"/>
      <c r="O31" s="2">
        <v>2414480</v>
      </c>
      <c r="P31" s="6"/>
      <c r="Q31" s="2">
        <v>2482521</v>
      </c>
      <c r="R31" s="2"/>
      <c r="S31" s="2">
        <v>390271</v>
      </c>
      <c r="T31" s="2"/>
      <c r="U31" s="2">
        <v>0</v>
      </c>
      <c r="V31" s="2"/>
      <c r="W31" s="2">
        <v>0</v>
      </c>
      <c r="X31" s="2"/>
      <c r="Y31" s="2">
        <v>191262</v>
      </c>
      <c r="AA31" s="2"/>
      <c r="AB31" s="2"/>
      <c r="AC31" s="2">
        <f t="shared" si="3"/>
        <v>5478534</v>
      </c>
      <c r="AD31" s="2"/>
      <c r="AE31" s="2">
        <v>0</v>
      </c>
      <c r="AF31" s="19"/>
      <c r="AG31" s="2">
        <f t="shared" si="1"/>
        <v>11703757</v>
      </c>
    </row>
    <row r="32" spans="1:34" s="110" customFormat="1">
      <c r="A32" s="10" t="s">
        <v>274</v>
      </c>
      <c r="B32" s="92"/>
      <c r="C32" s="92" t="s">
        <v>195</v>
      </c>
      <c r="E32" s="92">
        <v>51060</v>
      </c>
      <c r="G32" s="10">
        <v>6764742</v>
      </c>
      <c r="H32" s="10"/>
      <c r="I32" s="10">
        <v>5891342</v>
      </c>
      <c r="J32" s="10"/>
      <c r="K32" s="10">
        <v>0</v>
      </c>
      <c r="L32" s="10"/>
      <c r="M32" s="10">
        <f t="shared" si="2"/>
        <v>12656084</v>
      </c>
      <c r="N32" s="10"/>
      <c r="O32" s="10">
        <v>37230847</v>
      </c>
      <c r="P32" s="10"/>
      <c r="Q32" s="10">
        <v>21576547</v>
      </c>
      <c r="R32" s="10"/>
      <c r="S32" s="10">
        <v>0</v>
      </c>
      <c r="T32" s="10"/>
      <c r="U32" s="10">
        <v>0</v>
      </c>
      <c r="V32" s="10"/>
      <c r="W32" s="10">
        <v>0</v>
      </c>
      <c r="X32" s="10"/>
      <c r="Y32" s="10">
        <v>4762573</v>
      </c>
      <c r="AA32" s="10"/>
      <c r="AB32" s="10"/>
      <c r="AC32" s="10">
        <f t="shared" si="3"/>
        <v>63569967</v>
      </c>
      <c r="AD32" s="10"/>
      <c r="AE32" s="10">
        <v>0</v>
      </c>
      <c r="AF32" s="92"/>
      <c r="AG32" s="10">
        <f t="shared" si="1"/>
        <v>76226051</v>
      </c>
      <c r="AH32" s="13" t="s">
        <v>401</v>
      </c>
    </row>
    <row r="33" spans="1:34">
      <c r="A33" s="2" t="s">
        <v>330</v>
      </c>
      <c r="B33" s="19"/>
      <c r="C33" s="19" t="s">
        <v>193</v>
      </c>
      <c r="E33" s="19">
        <v>51045</v>
      </c>
      <c r="G33" s="2">
        <v>1450216</v>
      </c>
      <c r="H33" s="2"/>
      <c r="I33" s="2">
        <v>2460447</v>
      </c>
      <c r="J33" s="2"/>
      <c r="K33" s="2">
        <v>369437</v>
      </c>
      <c r="L33" s="2"/>
      <c r="M33" s="2">
        <f t="shared" si="2"/>
        <v>4280100</v>
      </c>
      <c r="N33" s="2"/>
      <c r="O33" s="2">
        <v>8925181</v>
      </c>
      <c r="P33" s="6"/>
      <c r="Q33" s="2">
        <v>3885572</v>
      </c>
      <c r="R33" s="2"/>
      <c r="S33" s="2">
        <v>0</v>
      </c>
      <c r="T33" s="2"/>
      <c r="U33" s="2">
        <v>0</v>
      </c>
      <c r="V33" s="2"/>
      <c r="W33" s="2">
        <v>0</v>
      </c>
      <c r="X33" s="2"/>
      <c r="Y33" s="2">
        <v>277078</v>
      </c>
      <c r="AA33" s="2"/>
      <c r="AB33" s="2"/>
      <c r="AC33" s="2">
        <f t="shared" si="3"/>
        <v>13087831</v>
      </c>
      <c r="AD33" s="2"/>
      <c r="AE33" s="2">
        <v>0</v>
      </c>
      <c r="AF33" s="19"/>
      <c r="AG33" s="2">
        <f t="shared" si="1"/>
        <v>17367931</v>
      </c>
    </row>
    <row r="34" spans="1:34">
      <c r="A34" s="2" t="s">
        <v>276</v>
      </c>
      <c r="B34" s="19"/>
      <c r="C34" s="19" t="s">
        <v>200</v>
      </c>
      <c r="E34" s="19">
        <v>51128</v>
      </c>
      <c r="G34" s="2">
        <v>423845</v>
      </c>
      <c r="H34" s="2"/>
      <c r="I34" s="2">
        <v>695543</v>
      </c>
      <c r="J34" s="2"/>
      <c r="K34" s="2">
        <v>0</v>
      </c>
      <c r="L34" s="2"/>
      <c r="M34" s="2">
        <f t="shared" si="2"/>
        <v>1119388</v>
      </c>
      <c r="N34" s="2"/>
      <c r="O34" s="2">
        <v>1570208</v>
      </c>
      <c r="P34" s="6"/>
      <c r="Q34" s="2">
        <v>2683237</v>
      </c>
      <c r="R34" s="2"/>
      <c r="S34" s="2">
        <v>19669</v>
      </c>
      <c r="T34" s="2"/>
      <c r="U34" s="2">
        <v>0</v>
      </c>
      <c r="V34" s="2"/>
      <c r="W34" s="2">
        <v>0</v>
      </c>
      <c r="X34" s="2"/>
      <c r="Y34" s="2">
        <v>13998</v>
      </c>
      <c r="AA34" s="2"/>
      <c r="AB34" s="2"/>
      <c r="AC34" s="2">
        <f t="shared" si="3"/>
        <v>4287112</v>
      </c>
      <c r="AD34" s="2"/>
      <c r="AE34" s="2">
        <v>0</v>
      </c>
      <c r="AF34" s="19"/>
      <c r="AG34" s="2">
        <f t="shared" si="1"/>
        <v>5406500</v>
      </c>
    </row>
    <row r="35" spans="1:34">
      <c r="A35" s="2" t="s">
        <v>331</v>
      </c>
      <c r="B35" s="19"/>
      <c r="C35" s="19" t="s">
        <v>202</v>
      </c>
      <c r="E35" s="19">
        <v>51144</v>
      </c>
      <c r="G35" s="2">
        <v>1565018</v>
      </c>
      <c r="H35" s="2"/>
      <c r="I35" s="2">
        <v>808698</v>
      </c>
      <c r="J35" s="2"/>
      <c r="K35" s="2">
        <v>0</v>
      </c>
      <c r="L35" s="2"/>
      <c r="M35" s="2">
        <f t="shared" si="2"/>
        <v>2373716</v>
      </c>
      <c r="N35" s="2"/>
      <c r="O35" s="2">
        <v>4285862</v>
      </c>
      <c r="P35" s="6"/>
      <c r="Q35" s="2">
        <v>5728232</v>
      </c>
      <c r="R35" s="2"/>
      <c r="S35" s="2">
        <v>494083</v>
      </c>
      <c r="T35" s="2"/>
      <c r="U35" s="2">
        <v>86018</v>
      </c>
      <c r="V35" s="2"/>
      <c r="W35" s="2">
        <v>0</v>
      </c>
      <c r="X35" s="2"/>
      <c r="Y35" s="2">
        <v>19420</v>
      </c>
      <c r="AA35" s="2"/>
      <c r="AB35" s="2"/>
      <c r="AC35" s="2">
        <f t="shared" si="3"/>
        <v>10613615</v>
      </c>
      <c r="AD35" s="2"/>
      <c r="AE35" s="2">
        <v>0</v>
      </c>
      <c r="AF35" s="19"/>
      <c r="AG35" s="2">
        <f t="shared" si="1"/>
        <v>12987331</v>
      </c>
    </row>
    <row r="36" spans="1:34">
      <c r="A36" s="2" t="s">
        <v>278</v>
      </c>
      <c r="B36" s="19"/>
      <c r="C36" s="19" t="s">
        <v>205</v>
      </c>
      <c r="E36" s="19">
        <v>51185</v>
      </c>
      <c r="G36" s="2">
        <v>2276964</v>
      </c>
      <c r="H36" s="2"/>
      <c r="I36" s="2">
        <v>4813376</v>
      </c>
      <c r="J36" s="2"/>
      <c r="K36" s="2">
        <v>0</v>
      </c>
      <c r="L36" s="2"/>
      <c r="M36" s="2">
        <f t="shared" si="2"/>
        <v>7090340</v>
      </c>
      <c r="N36" s="2"/>
      <c r="O36" s="2">
        <v>1821566</v>
      </c>
      <c r="P36" s="6"/>
      <c r="Q36" s="2">
        <v>3446688</v>
      </c>
      <c r="R36" s="2"/>
      <c r="S36" s="2">
        <v>294396</v>
      </c>
      <c r="T36" s="2"/>
      <c r="U36" s="2">
        <v>30720</v>
      </c>
      <c r="V36" s="2"/>
      <c r="W36" s="2">
        <v>0</v>
      </c>
      <c r="X36" s="2"/>
      <c r="Y36" s="2">
        <v>302933</v>
      </c>
      <c r="AA36" s="2"/>
      <c r="AB36" s="2"/>
      <c r="AC36" s="2">
        <f t="shared" si="3"/>
        <v>5896303</v>
      </c>
      <c r="AD36" s="2"/>
      <c r="AE36" s="2">
        <v>0</v>
      </c>
      <c r="AF36" s="19"/>
      <c r="AG36" s="2">
        <f t="shared" si="1"/>
        <v>12986643</v>
      </c>
      <c r="AH36" s="97"/>
    </row>
    <row r="37" spans="1:34" s="111" customFormat="1" hidden="1">
      <c r="A37" s="69" t="s">
        <v>362</v>
      </c>
      <c r="B37" s="71"/>
      <c r="C37" s="71" t="s">
        <v>207</v>
      </c>
      <c r="E37" s="71">
        <v>47977</v>
      </c>
      <c r="G37" s="69"/>
      <c r="H37" s="69"/>
      <c r="I37" s="69"/>
      <c r="J37" s="69"/>
      <c r="K37" s="69"/>
      <c r="L37" s="69"/>
      <c r="M37" s="69">
        <f t="shared" si="2"/>
        <v>0</v>
      </c>
      <c r="N37" s="69"/>
      <c r="O37" s="69"/>
      <c r="P37" s="74"/>
      <c r="Q37" s="69"/>
      <c r="R37" s="69"/>
      <c r="S37" s="69"/>
      <c r="T37" s="69"/>
      <c r="U37" s="69"/>
      <c r="V37" s="69"/>
      <c r="W37" s="69"/>
      <c r="X37" s="69"/>
      <c r="Y37" s="69"/>
      <c r="AA37" s="69"/>
      <c r="AB37" s="69"/>
      <c r="AC37" s="69">
        <f t="shared" si="3"/>
        <v>0</v>
      </c>
      <c r="AD37" s="69"/>
      <c r="AE37" s="69">
        <v>0</v>
      </c>
      <c r="AF37" s="71"/>
      <c r="AG37" s="69">
        <f t="shared" si="1"/>
        <v>0</v>
      </c>
      <c r="AH37" s="93" t="s">
        <v>404</v>
      </c>
    </row>
    <row r="38" spans="1:34">
      <c r="A38" s="2" t="s">
        <v>280</v>
      </c>
      <c r="B38" s="19"/>
      <c r="C38" s="19" t="s">
        <v>154</v>
      </c>
      <c r="E38" s="19">
        <v>51227</v>
      </c>
      <c r="G38" s="2">
        <v>1727493</v>
      </c>
      <c r="H38" s="2"/>
      <c r="I38" s="2">
        <v>1772800</v>
      </c>
      <c r="J38" s="2"/>
      <c r="K38" s="2">
        <v>0</v>
      </c>
      <c r="L38" s="2"/>
      <c r="M38" s="2">
        <f t="shared" si="2"/>
        <v>3500293</v>
      </c>
      <c r="N38" s="2"/>
      <c r="O38" s="2">
        <v>10324734</v>
      </c>
      <c r="P38" s="6"/>
      <c r="Q38" s="2">
        <v>9149214</v>
      </c>
      <c r="R38" s="2"/>
      <c r="S38" s="2">
        <v>257633</v>
      </c>
      <c r="T38" s="2"/>
      <c r="U38" s="2">
        <v>0</v>
      </c>
      <c r="V38" s="2"/>
      <c r="W38" s="2">
        <v>0</v>
      </c>
      <c r="X38" s="2"/>
      <c r="Y38" s="2">
        <v>292885</v>
      </c>
      <c r="AA38" s="2"/>
      <c r="AB38" s="2"/>
      <c r="AC38" s="2">
        <f t="shared" si="3"/>
        <v>20024466</v>
      </c>
      <c r="AD38" s="2"/>
      <c r="AE38" s="2">
        <v>0</v>
      </c>
      <c r="AF38" s="19"/>
      <c r="AG38" s="2">
        <f t="shared" si="1"/>
        <v>23524759</v>
      </c>
    </row>
    <row r="39" spans="1:34">
      <c r="A39" s="2" t="s">
        <v>283</v>
      </c>
      <c r="B39" s="19"/>
      <c r="C39" s="19" t="s">
        <v>214</v>
      </c>
      <c r="E39" s="19">
        <v>51243</v>
      </c>
      <c r="G39" s="2">
        <v>891880</v>
      </c>
      <c r="H39" s="2"/>
      <c r="I39" s="2">
        <v>711473</v>
      </c>
      <c r="J39" s="2"/>
      <c r="K39" s="2">
        <v>15563</v>
      </c>
      <c r="L39" s="2"/>
      <c r="M39" s="2">
        <f t="shared" si="2"/>
        <v>1618916</v>
      </c>
      <c r="N39" s="2"/>
      <c r="O39" s="2">
        <v>6245660</v>
      </c>
      <c r="P39" s="6"/>
      <c r="Q39" s="2">
        <v>4135899</v>
      </c>
      <c r="R39" s="2"/>
      <c r="S39" s="2">
        <v>872099</v>
      </c>
      <c r="T39" s="2"/>
      <c r="U39" s="2">
        <v>0</v>
      </c>
      <c r="V39" s="2"/>
      <c r="W39" s="2">
        <v>0</v>
      </c>
      <c r="X39" s="2"/>
      <c r="Y39" s="2">
        <f>54738+149984</f>
        <v>204722</v>
      </c>
      <c r="AA39" s="2"/>
      <c r="AB39" s="2"/>
      <c r="AC39" s="2">
        <f t="shared" si="3"/>
        <v>11458380</v>
      </c>
      <c r="AD39" s="2"/>
      <c r="AE39" s="2">
        <v>0</v>
      </c>
      <c r="AF39" s="19"/>
      <c r="AG39" s="2">
        <f t="shared" si="1"/>
        <v>13077296</v>
      </c>
      <c r="AH39" s="97"/>
    </row>
    <row r="40" spans="1:34">
      <c r="A40" s="2" t="s">
        <v>332</v>
      </c>
      <c r="B40" s="19"/>
      <c r="C40" s="19" t="s">
        <v>230</v>
      </c>
      <c r="E40" s="19">
        <v>51391</v>
      </c>
      <c r="G40" s="2">
        <v>732279</v>
      </c>
      <c r="H40" s="2"/>
      <c r="I40" s="2">
        <v>736019</v>
      </c>
      <c r="J40" s="2"/>
      <c r="K40" s="2">
        <v>0</v>
      </c>
      <c r="L40" s="2"/>
      <c r="M40" s="2">
        <f t="shared" si="2"/>
        <v>1468298</v>
      </c>
      <c r="N40" s="2"/>
      <c r="O40" s="2">
        <v>6773613</v>
      </c>
      <c r="P40" s="6"/>
      <c r="Q40" s="2">
        <v>5704901</v>
      </c>
      <c r="R40" s="2"/>
      <c r="S40" s="2">
        <v>403684</v>
      </c>
      <c r="T40" s="2"/>
      <c r="U40" s="2">
        <v>0</v>
      </c>
      <c r="V40" s="2"/>
      <c r="W40" s="2">
        <v>0</v>
      </c>
      <c r="X40" s="2"/>
      <c r="Y40" s="2">
        <v>116373</v>
      </c>
      <c r="AA40" s="2"/>
      <c r="AB40" s="2"/>
      <c r="AC40" s="2">
        <f t="shared" si="3"/>
        <v>12998571</v>
      </c>
      <c r="AD40" s="2"/>
      <c r="AE40" s="2">
        <v>0</v>
      </c>
      <c r="AF40" s="19"/>
      <c r="AG40" s="2">
        <f t="shared" si="1"/>
        <v>14466869</v>
      </c>
      <c r="AH40" s="97"/>
    </row>
    <row r="41" spans="1:34">
      <c r="A41" s="2" t="s">
        <v>286</v>
      </c>
      <c r="B41" s="19"/>
      <c r="C41" s="19" t="s">
        <v>216</v>
      </c>
      <c r="E41" s="19">
        <v>62109</v>
      </c>
      <c r="G41" s="2">
        <v>1568349</v>
      </c>
      <c r="H41" s="2"/>
      <c r="I41" s="2">
        <v>891850</v>
      </c>
      <c r="J41" s="2"/>
      <c r="K41" s="2">
        <v>0</v>
      </c>
      <c r="L41" s="2"/>
      <c r="M41" s="2">
        <f t="shared" si="2"/>
        <v>2460199</v>
      </c>
      <c r="N41" s="2"/>
      <c r="O41" s="2">
        <v>7951448</v>
      </c>
      <c r="P41" s="6"/>
      <c r="Q41" s="2">
        <f>7917494+262577</f>
        <v>8180071</v>
      </c>
      <c r="R41" s="2"/>
      <c r="S41" s="2">
        <v>0</v>
      </c>
      <c r="T41" s="2"/>
      <c r="U41" s="2">
        <v>0</v>
      </c>
      <c r="V41" s="2"/>
      <c r="W41" s="2">
        <v>0</v>
      </c>
      <c r="X41" s="2"/>
      <c r="Y41" s="2">
        <v>153420</v>
      </c>
      <c r="AA41" s="2"/>
      <c r="AB41" s="2"/>
      <c r="AC41" s="2">
        <f t="shared" si="3"/>
        <v>16284939</v>
      </c>
      <c r="AD41" s="2"/>
      <c r="AE41" s="2">
        <v>0</v>
      </c>
      <c r="AF41" s="19"/>
      <c r="AG41" s="2">
        <f t="shared" si="1"/>
        <v>18745138</v>
      </c>
      <c r="AH41" s="97"/>
    </row>
    <row r="42" spans="1:34">
      <c r="A42" s="2" t="s">
        <v>333</v>
      </c>
      <c r="B42" s="19"/>
      <c r="C42" s="19" t="s">
        <v>222</v>
      </c>
      <c r="E42" s="19">
        <v>51284</v>
      </c>
      <c r="G42" s="2">
        <v>3370260</v>
      </c>
      <c r="H42" s="2"/>
      <c r="I42" s="2">
        <v>2328722</v>
      </c>
      <c r="J42" s="2"/>
      <c r="K42" s="2">
        <v>0</v>
      </c>
      <c r="L42" s="2"/>
      <c r="M42" s="2">
        <f t="shared" si="2"/>
        <v>5698982</v>
      </c>
      <c r="N42" s="2"/>
      <c r="O42" s="2">
        <v>13183223</v>
      </c>
      <c r="P42" s="6"/>
      <c r="Q42" s="2">
        <v>15739279</v>
      </c>
      <c r="R42" s="2"/>
      <c r="S42" s="2">
        <v>0</v>
      </c>
      <c r="T42" s="2"/>
      <c r="U42" s="2">
        <v>0</v>
      </c>
      <c r="V42" s="2"/>
      <c r="W42" s="2">
        <v>0</v>
      </c>
      <c r="X42" s="2"/>
      <c r="Y42" s="2">
        <v>673408</v>
      </c>
      <c r="AA42" s="2"/>
      <c r="AB42" s="2"/>
      <c r="AC42" s="2">
        <f t="shared" si="3"/>
        <v>29595910</v>
      </c>
      <c r="AD42" s="2"/>
      <c r="AE42" s="2">
        <v>0</v>
      </c>
      <c r="AF42" s="19"/>
      <c r="AG42" s="2">
        <f t="shared" si="1"/>
        <v>35294892</v>
      </c>
      <c r="AH42" s="97"/>
    </row>
    <row r="43" spans="1:34">
      <c r="A43" s="2" t="s">
        <v>334</v>
      </c>
      <c r="B43" s="19"/>
      <c r="C43" s="19" t="s">
        <v>224</v>
      </c>
      <c r="E43" s="19">
        <v>51300</v>
      </c>
      <c r="G43" s="2">
        <v>2348867</v>
      </c>
      <c r="H43" s="2"/>
      <c r="I43" s="2">
        <v>3809058</v>
      </c>
      <c r="J43" s="2"/>
      <c r="K43" s="2">
        <v>0</v>
      </c>
      <c r="L43" s="2"/>
      <c r="M43" s="2">
        <f t="shared" si="2"/>
        <v>6157925</v>
      </c>
      <c r="N43" s="2"/>
      <c r="O43" s="2">
        <v>5223912</v>
      </c>
      <c r="P43" s="6"/>
      <c r="Q43" s="2">
        <v>6413328</v>
      </c>
      <c r="R43" s="2"/>
      <c r="S43" s="2">
        <v>0</v>
      </c>
      <c r="T43" s="2"/>
      <c r="U43" s="2">
        <v>0</v>
      </c>
      <c r="V43" s="2"/>
      <c r="W43" s="2">
        <v>0</v>
      </c>
      <c r="X43" s="2"/>
      <c r="Y43" s="2">
        <v>447958</v>
      </c>
      <c r="AA43" s="2"/>
      <c r="AB43" s="2"/>
      <c r="AC43" s="2">
        <f t="shared" si="3"/>
        <v>12085198</v>
      </c>
      <c r="AD43" s="2"/>
      <c r="AE43" s="2">
        <v>0</v>
      </c>
      <c r="AF43" s="19"/>
      <c r="AG43" s="2">
        <f t="shared" si="1"/>
        <v>18243123</v>
      </c>
      <c r="AH43" s="97"/>
    </row>
    <row r="44" spans="1:34" hidden="1">
      <c r="A44" s="13" t="s">
        <v>279</v>
      </c>
      <c r="B44" s="19"/>
      <c r="C44" s="19" t="s">
        <v>209</v>
      </c>
      <c r="E44" s="19">
        <v>51334</v>
      </c>
      <c r="G44" s="2"/>
      <c r="H44" s="2"/>
      <c r="I44" s="2"/>
      <c r="J44" s="2"/>
      <c r="K44" s="2"/>
      <c r="L44" s="2"/>
      <c r="M44" s="2">
        <f t="shared" si="2"/>
        <v>0</v>
      </c>
      <c r="N44" s="2"/>
      <c r="O44" s="2"/>
      <c r="P44" s="6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>
        <f t="shared" si="3"/>
        <v>0</v>
      </c>
      <c r="AD44" s="2"/>
      <c r="AE44" s="2">
        <v>0</v>
      </c>
      <c r="AF44" s="19"/>
      <c r="AG44" s="2">
        <f t="shared" si="1"/>
        <v>0</v>
      </c>
    </row>
    <row r="45" spans="1:34">
      <c r="A45" s="2" t="s">
        <v>335</v>
      </c>
      <c r="B45" s="19"/>
      <c r="C45" s="19" t="s">
        <v>264</v>
      </c>
      <c r="E45" s="19">
        <v>51359</v>
      </c>
      <c r="G45" s="2">
        <v>1143023</v>
      </c>
      <c r="H45" s="2"/>
      <c r="I45" s="2">
        <v>6594119</v>
      </c>
      <c r="J45" s="2"/>
      <c r="K45" s="2">
        <v>0</v>
      </c>
      <c r="L45" s="2"/>
      <c r="M45" s="2">
        <f t="shared" si="2"/>
        <v>7737142</v>
      </c>
      <c r="N45" s="2"/>
      <c r="O45" s="2">
        <v>15355398</v>
      </c>
      <c r="P45" s="6"/>
      <c r="Q45" s="2">
        <v>11219901</v>
      </c>
      <c r="R45" s="2"/>
      <c r="S45" s="2">
        <v>596158</v>
      </c>
      <c r="T45" s="2"/>
      <c r="U45" s="2">
        <v>0</v>
      </c>
      <c r="V45" s="2"/>
      <c r="W45" s="2">
        <v>184559</v>
      </c>
      <c r="X45" s="2"/>
      <c r="Y45" s="2">
        <v>44148</v>
      </c>
      <c r="AA45" s="2"/>
      <c r="AB45" s="2"/>
      <c r="AC45" s="2">
        <f t="shared" si="3"/>
        <v>27400164</v>
      </c>
      <c r="AD45" s="2"/>
      <c r="AE45" s="2">
        <v>0</v>
      </c>
      <c r="AF45" s="19"/>
      <c r="AG45" s="2">
        <f t="shared" si="1"/>
        <v>35137306</v>
      </c>
    </row>
    <row r="46" spans="1:34">
      <c r="A46" s="2" t="s">
        <v>336</v>
      </c>
      <c r="B46" s="19"/>
      <c r="C46" s="19" t="s">
        <v>238</v>
      </c>
      <c r="E46" s="19">
        <v>51433</v>
      </c>
      <c r="G46" s="2">
        <v>2321130</v>
      </c>
      <c r="H46" s="2"/>
      <c r="I46" s="2">
        <v>3265859</v>
      </c>
      <c r="J46" s="2"/>
      <c r="K46" s="2">
        <v>0</v>
      </c>
      <c r="L46" s="2"/>
      <c r="M46" s="2">
        <f t="shared" si="2"/>
        <v>5586989</v>
      </c>
      <c r="N46" s="2"/>
      <c r="O46" s="2">
        <v>4844815</v>
      </c>
      <c r="P46" s="6"/>
      <c r="Q46" s="2">
        <f>552095+9759462</f>
        <v>10311557</v>
      </c>
      <c r="R46" s="2"/>
      <c r="S46" s="2">
        <v>171015</v>
      </c>
      <c r="T46" s="2"/>
      <c r="U46" s="2">
        <v>450</v>
      </c>
      <c r="V46" s="2"/>
      <c r="W46" s="2">
        <v>25</v>
      </c>
      <c r="X46" s="2"/>
      <c r="Y46" s="2">
        <f>8488+313949</f>
        <v>322437</v>
      </c>
      <c r="AA46" s="2"/>
      <c r="AB46" s="2"/>
      <c r="AC46" s="2">
        <f t="shared" si="3"/>
        <v>15650299</v>
      </c>
      <c r="AD46" s="2"/>
      <c r="AE46" s="2">
        <v>0</v>
      </c>
      <c r="AF46" s="19"/>
      <c r="AG46" s="2">
        <f t="shared" si="1"/>
        <v>21237288</v>
      </c>
    </row>
    <row r="47" spans="1:34">
      <c r="A47" s="2" t="s">
        <v>337</v>
      </c>
      <c r="B47" s="19"/>
      <c r="C47" s="19" t="s">
        <v>288</v>
      </c>
      <c r="E47" s="19">
        <v>51375</v>
      </c>
      <c r="G47" s="2">
        <v>528894</v>
      </c>
      <c r="H47" s="2"/>
      <c r="I47" s="2">
        <v>1242568</v>
      </c>
      <c r="J47" s="2"/>
      <c r="K47" s="2">
        <v>0</v>
      </c>
      <c r="L47" s="2"/>
      <c r="M47" s="2">
        <f t="shared" si="2"/>
        <v>1771462</v>
      </c>
      <c r="N47" s="2"/>
      <c r="O47" s="2">
        <v>1258724</v>
      </c>
      <c r="P47" s="6"/>
      <c r="Q47" s="2">
        <v>4901831</v>
      </c>
      <c r="R47" s="2"/>
      <c r="S47" s="2">
        <v>107269</v>
      </c>
      <c r="T47" s="2"/>
      <c r="U47" s="2">
        <v>643</v>
      </c>
      <c r="V47" s="2"/>
      <c r="W47" s="2">
        <v>4706</v>
      </c>
      <c r="X47" s="2"/>
      <c r="Y47" s="2">
        <v>64665</v>
      </c>
      <c r="AA47" s="2"/>
      <c r="AB47" s="2"/>
      <c r="AC47" s="2">
        <f t="shared" si="3"/>
        <v>6337838</v>
      </c>
      <c r="AD47" s="2"/>
      <c r="AE47" s="2">
        <v>0</v>
      </c>
      <c r="AF47" s="19"/>
      <c r="AG47" s="2">
        <f t="shared" ref="AG47:AG65" si="4">+AC47+M47</f>
        <v>8109300</v>
      </c>
    </row>
    <row r="48" spans="1:34">
      <c r="A48" s="2" t="s">
        <v>338</v>
      </c>
      <c r="B48" s="19"/>
      <c r="C48" s="19" t="s">
        <v>236</v>
      </c>
      <c r="E48" s="19">
        <v>51417</v>
      </c>
      <c r="G48" s="2">
        <v>980207</v>
      </c>
      <c r="H48" s="2"/>
      <c r="I48" s="2">
        <v>2465292</v>
      </c>
      <c r="J48" s="2"/>
      <c r="K48" s="2">
        <v>0</v>
      </c>
      <c r="L48" s="2"/>
      <c r="M48" s="2">
        <f t="shared" si="2"/>
        <v>3445499</v>
      </c>
      <c r="N48" s="2"/>
      <c r="O48" s="2">
        <v>4572231</v>
      </c>
      <c r="P48" s="6"/>
      <c r="Q48" s="2">
        <f>10044016+19240852</f>
        <v>29284868</v>
      </c>
      <c r="R48" s="2"/>
      <c r="S48" s="2">
        <v>823718</v>
      </c>
      <c r="T48" s="2"/>
      <c r="U48" s="2">
        <v>0</v>
      </c>
      <c r="V48" s="2"/>
      <c r="W48" s="2">
        <v>0</v>
      </c>
      <c r="X48" s="2"/>
      <c r="Y48" s="2">
        <v>71347</v>
      </c>
      <c r="AA48" s="2"/>
      <c r="AB48" s="2"/>
      <c r="AC48" s="2">
        <f t="shared" si="3"/>
        <v>34752164</v>
      </c>
      <c r="AD48" s="2"/>
      <c r="AE48" s="2">
        <v>0</v>
      </c>
      <c r="AF48" s="19"/>
      <c r="AG48" s="2">
        <f t="shared" si="4"/>
        <v>38197663</v>
      </c>
    </row>
    <row r="49" spans="1:37">
      <c r="A49" s="2" t="s">
        <v>339</v>
      </c>
      <c r="B49" s="19"/>
      <c r="C49" s="19" t="s">
        <v>177</v>
      </c>
      <c r="E49" s="19">
        <v>50948</v>
      </c>
      <c r="G49" s="2">
        <v>2181517</v>
      </c>
      <c r="H49" s="2"/>
      <c r="I49" s="2">
        <v>958675</v>
      </c>
      <c r="J49" s="2"/>
      <c r="K49" s="2">
        <v>0</v>
      </c>
      <c r="L49" s="2"/>
      <c r="M49" s="2">
        <f t="shared" si="2"/>
        <v>3140192</v>
      </c>
      <c r="N49" s="2"/>
      <c r="O49" s="2">
        <v>9132997</v>
      </c>
      <c r="P49" s="6"/>
      <c r="Q49" s="2">
        <v>4263950</v>
      </c>
      <c r="R49" s="2"/>
      <c r="S49" s="2">
        <v>313855</v>
      </c>
      <c r="T49" s="2"/>
      <c r="U49" s="2">
        <v>0</v>
      </c>
      <c r="V49" s="2"/>
      <c r="W49" s="2">
        <v>0</v>
      </c>
      <c r="X49" s="2"/>
      <c r="Y49" s="2">
        <v>144549</v>
      </c>
      <c r="AA49" s="2"/>
      <c r="AB49" s="2"/>
      <c r="AC49" s="2">
        <f t="shared" si="3"/>
        <v>13855351</v>
      </c>
      <c r="AD49" s="2"/>
      <c r="AE49" s="2">
        <v>0</v>
      </c>
      <c r="AF49" s="19"/>
      <c r="AG49" s="2">
        <f t="shared" si="4"/>
        <v>16995543</v>
      </c>
      <c r="AH49" s="13" t="s">
        <v>401</v>
      </c>
      <c r="AK49" s="97"/>
    </row>
    <row r="50" spans="1:37">
      <c r="A50" s="2" t="s">
        <v>340</v>
      </c>
      <c r="B50" s="19"/>
      <c r="C50" s="19" t="s">
        <v>250</v>
      </c>
      <c r="E50" s="19">
        <v>63495</v>
      </c>
      <c r="G50" s="2">
        <v>1281896</v>
      </c>
      <c r="H50" s="2"/>
      <c r="I50" s="2">
        <v>632005</v>
      </c>
      <c r="J50" s="2"/>
      <c r="K50" s="2">
        <v>0</v>
      </c>
      <c r="L50" s="2"/>
      <c r="M50" s="2">
        <f t="shared" si="2"/>
        <v>1913901</v>
      </c>
      <c r="N50" s="2"/>
      <c r="O50" s="2">
        <v>3140097</v>
      </c>
      <c r="P50" s="6"/>
      <c r="Q50" s="2">
        <v>2724114</v>
      </c>
      <c r="R50" s="2"/>
      <c r="S50" s="2">
        <v>0</v>
      </c>
      <c r="T50" s="2"/>
      <c r="U50" s="2">
        <v>0</v>
      </c>
      <c r="V50" s="2"/>
      <c r="W50" s="2">
        <v>0</v>
      </c>
      <c r="X50" s="2"/>
      <c r="Y50" s="2">
        <v>243838</v>
      </c>
      <c r="AA50" s="2"/>
      <c r="AB50" s="2"/>
      <c r="AC50" s="2">
        <f t="shared" si="3"/>
        <v>6108049</v>
      </c>
      <c r="AD50" s="2"/>
      <c r="AE50" s="2">
        <v>0</v>
      </c>
      <c r="AF50" s="19"/>
      <c r="AG50" s="2">
        <f t="shared" si="4"/>
        <v>8021950</v>
      </c>
      <c r="AH50" s="97"/>
    </row>
    <row r="51" spans="1:37">
      <c r="A51" s="2" t="s">
        <v>341</v>
      </c>
      <c r="B51" s="19"/>
      <c r="C51" s="19" t="s">
        <v>242</v>
      </c>
      <c r="E51" s="19">
        <v>51490</v>
      </c>
      <c r="G51" s="2">
        <v>1660460</v>
      </c>
      <c r="H51" s="2"/>
      <c r="I51" s="2">
        <v>2101043</v>
      </c>
      <c r="J51" s="2"/>
      <c r="K51" s="2">
        <v>0</v>
      </c>
      <c r="L51" s="2"/>
      <c r="M51" s="2">
        <f t="shared" si="2"/>
        <v>3761503</v>
      </c>
      <c r="N51" s="2"/>
      <c r="O51" s="2">
        <v>2470806</v>
      </c>
      <c r="P51" s="6"/>
      <c r="Q51" s="2">
        <f>4089703+897886</f>
        <v>4987589</v>
      </c>
      <c r="R51" s="2"/>
      <c r="S51" s="2">
        <v>289800</v>
      </c>
      <c r="T51" s="2"/>
      <c r="U51" s="2">
        <v>0</v>
      </c>
      <c r="V51" s="2"/>
      <c r="W51" s="2">
        <v>0</v>
      </c>
      <c r="X51" s="2"/>
      <c r="Y51" s="2">
        <f>4103+143364</f>
        <v>147467</v>
      </c>
      <c r="AA51" s="2"/>
      <c r="AB51" s="2"/>
      <c r="AC51" s="2">
        <f t="shared" si="3"/>
        <v>7895662</v>
      </c>
      <c r="AD51" s="2"/>
      <c r="AE51" s="2">
        <v>0</v>
      </c>
      <c r="AF51" s="19"/>
      <c r="AG51" s="2">
        <f t="shared" si="4"/>
        <v>11657165</v>
      </c>
      <c r="AH51" s="97"/>
    </row>
    <row r="52" spans="1:37">
      <c r="A52" s="2" t="s">
        <v>268</v>
      </c>
      <c r="B52" s="19"/>
      <c r="C52" s="19" t="s">
        <v>164</v>
      </c>
      <c r="E52" s="19">
        <v>50799</v>
      </c>
      <c r="G52" s="2">
        <v>329652</v>
      </c>
      <c r="H52" s="2"/>
      <c r="I52" s="2">
        <v>1456336</v>
      </c>
      <c r="J52" s="2"/>
      <c r="K52" s="2">
        <v>0</v>
      </c>
      <c r="L52" s="2"/>
      <c r="M52" s="2">
        <f t="shared" si="2"/>
        <v>1785988</v>
      </c>
      <c r="N52" s="2"/>
      <c r="O52" s="2">
        <v>2309962</v>
      </c>
      <c r="P52" s="6"/>
      <c r="Q52" s="2">
        <v>2602104</v>
      </c>
      <c r="R52" s="2"/>
      <c r="S52" s="2">
        <v>317305</v>
      </c>
      <c r="T52" s="2"/>
      <c r="U52" s="2">
        <v>0</v>
      </c>
      <c r="V52" s="2"/>
      <c r="W52" s="2">
        <v>23</v>
      </c>
      <c r="X52" s="2"/>
      <c r="Y52" s="2">
        <v>2663</v>
      </c>
      <c r="AA52" s="2"/>
      <c r="AB52" s="2"/>
      <c r="AC52" s="2">
        <f t="shared" si="3"/>
        <v>5232057</v>
      </c>
      <c r="AD52" s="2"/>
      <c r="AE52" s="2">
        <v>0</v>
      </c>
      <c r="AF52" s="19"/>
      <c r="AG52" s="2">
        <f t="shared" si="4"/>
        <v>7018045</v>
      </c>
    </row>
    <row r="53" spans="1:37">
      <c r="A53" s="13" t="s">
        <v>387</v>
      </c>
      <c r="B53" s="19"/>
      <c r="C53" s="19" t="s">
        <v>169</v>
      </c>
      <c r="E53" s="19">
        <v>51532</v>
      </c>
      <c r="G53" s="2">
        <v>248617</v>
      </c>
      <c r="H53" s="2"/>
      <c r="I53" s="2">
        <v>572696</v>
      </c>
      <c r="J53" s="2"/>
      <c r="K53" s="2">
        <v>0</v>
      </c>
      <c r="L53" s="2"/>
      <c r="M53" s="2">
        <f t="shared" si="2"/>
        <v>821313</v>
      </c>
      <c r="N53" s="2"/>
      <c r="O53" s="2">
        <v>4665015</v>
      </c>
      <c r="P53" s="6"/>
      <c r="Q53" s="2">
        <v>6575842</v>
      </c>
      <c r="R53" s="2"/>
      <c r="S53" s="2">
        <v>89334</v>
      </c>
      <c r="T53" s="2"/>
      <c r="U53" s="2">
        <v>0</v>
      </c>
      <c r="V53" s="2"/>
      <c r="W53" s="2">
        <v>0</v>
      </c>
      <c r="X53" s="2"/>
      <c r="Y53" s="2">
        <v>25985</v>
      </c>
      <c r="AA53" s="2"/>
      <c r="AB53" s="2"/>
      <c r="AC53" s="2">
        <f t="shared" si="3"/>
        <v>11356176</v>
      </c>
      <c r="AD53" s="2"/>
      <c r="AE53" s="2">
        <v>0</v>
      </c>
      <c r="AF53" s="19"/>
      <c r="AG53" s="2">
        <f t="shared" si="4"/>
        <v>12177489</v>
      </c>
    </row>
    <row r="54" spans="1:37">
      <c r="A54" s="13" t="s">
        <v>289</v>
      </c>
      <c r="B54" s="19"/>
      <c r="C54" s="19" t="s">
        <v>248</v>
      </c>
      <c r="E54" s="19">
        <v>62026</v>
      </c>
      <c r="G54" s="2">
        <v>373607</v>
      </c>
      <c r="H54" s="2"/>
      <c r="I54" s="2">
        <v>586315</v>
      </c>
      <c r="J54" s="2"/>
      <c r="K54" s="2">
        <v>0</v>
      </c>
      <c r="L54" s="2"/>
      <c r="M54" s="2">
        <f>SUM(G54:L54)</f>
        <v>959922</v>
      </c>
      <c r="N54" s="2"/>
      <c r="O54" s="2">
        <v>2317268</v>
      </c>
      <c r="P54" s="6"/>
      <c r="Q54" s="2">
        <v>4214243</v>
      </c>
      <c r="R54" s="2"/>
      <c r="S54" s="2">
        <v>408778</v>
      </c>
      <c r="T54" s="2"/>
      <c r="U54" s="2">
        <v>0</v>
      </c>
      <c r="V54" s="2"/>
      <c r="W54" s="2">
        <v>0</v>
      </c>
      <c r="X54" s="2"/>
      <c r="Y54" s="2">
        <v>39618</v>
      </c>
      <c r="AA54" s="2"/>
      <c r="AB54" s="2"/>
      <c r="AC54" s="2">
        <f t="shared" si="3"/>
        <v>6979907</v>
      </c>
      <c r="AD54" s="2"/>
      <c r="AE54" s="2">
        <v>0</v>
      </c>
      <c r="AF54" s="19"/>
      <c r="AG54" s="2">
        <f>+AC54+M54</f>
        <v>7939829</v>
      </c>
    </row>
    <row r="55" spans="1:37">
      <c r="A55" s="13" t="s">
        <v>398</v>
      </c>
      <c r="B55" s="19"/>
      <c r="C55" s="19" t="s">
        <v>282</v>
      </c>
      <c r="E55" s="19"/>
      <c r="G55" s="2">
        <v>600561</v>
      </c>
      <c r="H55" s="2"/>
      <c r="I55" s="2">
        <v>639051</v>
      </c>
      <c r="J55" s="2"/>
      <c r="K55" s="2">
        <v>0</v>
      </c>
      <c r="L55" s="2"/>
      <c r="M55" s="2">
        <f>SUM(G55:L55)</f>
        <v>1239612</v>
      </c>
      <c r="N55" s="2"/>
      <c r="O55" s="2">
        <v>7988896</v>
      </c>
      <c r="P55" s="6"/>
      <c r="Q55" s="2">
        <v>3232217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514524</v>
      </c>
      <c r="AA55" s="2"/>
      <c r="AB55" s="2"/>
      <c r="AC55" s="2">
        <f t="shared" si="3"/>
        <v>11735637</v>
      </c>
      <c r="AD55" s="2"/>
      <c r="AE55" s="2">
        <v>0</v>
      </c>
      <c r="AF55" s="19"/>
      <c r="AG55" s="2">
        <f t="shared" ref="AG55:AG56" si="5">+AC55+M55</f>
        <v>12975249</v>
      </c>
      <c r="AH55" s="2" t="s">
        <v>402</v>
      </c>
    </row>
    <row r="56" spans="1:37">
      <c r="A56" s="13" t="s">
        <v>423</v>
      </c>
      <c r="B56" s="19"/>
      <c r="C56" s="19" t="s">
        <v>157</v>
      </c>
      <c r="E56" s="19">
        <v>51607</v>
      </c>
      <c r="G56" s="2">
        <v>908114</v>
      </c>
      <c r="H56" s="2"/>
      <c r="I56" s="2">
        <v>1117483</v>
      </c>
      <c r="J56" s="2"/>
      <c r="K56" s="2">
        <v>0</v>
      </c>
      <c r="L56" s="2"/>
      <c r="M56" s="2">
        <f t="shared" si="2"/>
        <v>2025597</v>
      </c>
      <c r="N56" s="2"/>
      <c r="O56" s="2">
        <v>3109369</v>
      </c>
      <c r="P56" s="6"/>
      <c r="Q56" s="2">
        <v>3867813</v>
      </c>
      <c r="R56" s="2"/>
      <c r="S56" s="2">
        <v>148218</v>
      </c>
      <c r="T56" s="2"/>
      <c r="U56" s="2">
        <v>0</v>
      </c>
      <c r="V56" s="2"/>
      <c r="W56" s="2">
        <v>0</v>
      </c>
      <c r="X56" s="2"/>
      <c r="Y56" s="2">
        <v>473108</v>
      </c>
      <c r="AA56" s="2"/>
      <c r="AB56" s="2"/>
      <c r="AC56" s="2">
        <f t="shared" si="3"/>
        <v>7598508</v>
      </c>
      <c r="AD56" s="2"/>
      <c r="AE56" s="2">
        <v>0</v>
      </c>
      <c r="AF56" s="19"/>
      <c r="AG56" s="2">
        <f t="shared" si="5"/>
        <v>9624105</v>
      </c>
    </row>
    <row r="57" spans="1:37">
      <c r="A57" s="13" t="s">
        <v>284</v>
      </c>
      <c r="B57" s="19"/>
      <c r="C57" s="19" t="s">
        <v>285</v>
      </c>
      <c r="E57" s="19">
        <v>65268</v>
      </c>
      <c r="G57" s="2">
        <v>1345067</v>
      </c>
      <c r="H57" s="2"/>
      <c r="I57" s="2">
        <v>3187038</v>
      </c>
      <c r="J57" s="2"/>
      <c r="K57" s="2">
        <v>0</v>
      </c>
      <c r="L57" s="2"/>
      <c r="M57" s="2">
        <f t="shared" si="2"/>
        <v>4532105</v>
      </c>
      <c r="N57" s="2"/>
      <c r="O57" s="2">
        <v>3721048</v>
      </c>
      <c r="P57" s="6"/>
      <c r="Q57" s="2">
        <v>4415322</v>
      </c>
      <c r="R57" s="2"/>
      <c r="S57" s="2">
        <v>29208</v>
      </c>
      <c r="T57" s="2"/>
      <c r="U57" s="2">
        <v>0</v>
      </c>
      <c r="V57" s="2"/>
      <c r="W57" s="2">
        <v>0</v>
      </c>
      <c r="X57" s="2"/>
      <c r="Y57" s="2">
        <v>197455</v>
      </c>
      <c r="AA57" s="2"/>
      <c r="AB57" s="2"/>
      <c r="AC57" s="2">
        <f t="shared" si="3"/>
        <v>8363033</v>
      </c>
      <c r="AD57" s="2"/>
      <c r="AE57" s="2">
        <v>0</v>
      </c>
      <c r="AF57" s="19"/>
      <c r="AG57" s="2">
        <f t="shared" si="4"/>
        <v>12895138</v>
      </c>
    </row>
    <row r="58" spans="1:37">
      <c r="A58" s="13" t="s">
        <v>342</v>
      </c>
      <c r="B58" s="19"/>
      <c r="C58" s="19" t="s">
        <v>252</v>
      </c>
      <c r="E58" s="19">
        <v>51631</v>
      </c>
      <c r="G58" s="2">
        <v>2673414</v>
      </c>
      <c r="H58" s="2"/>
      <c r="I58" s="2">
        <v>2422958</v>
      </c>
      <c r="J58" s="2"/>
      <c r="K58" s="2">
        <v>0</v>
      </c>
      <c r="L58" s="2"/>
      <c r="M58" s="2">
        <f t="shared" si="2"/>
        <v>5096372</v>
      </c>
      <c r="N58" s="2"/>
      <c r="O58" s="2">
        <v>5276495</v>
      </c>
      <c r="P58" s="6"/>
      <c r="Q58" s="2">
        <v>6502792</v>
      </c>
      <c r="R58" s="2"/>
      <c r="S58" s="2">
        <v>392433</v>
      </c>
      <c r="T58" s="2"/>
      <c r="U58" s="2">
        <v>0</v>
      </c>
      <c r="V58" s="2"/>
      <c r="W58" s="2">
        <v>0</v>
      </c>
      <c r="X58" s="2"/>
      <c r="Y58" s="2">
        <v>150145</v>
      </c>
      <c r="AA58" s="2"/>
      <c r="AB58" s="2"/>
      <c r="AC58" s="2">
        <f t="shared" si="3"/>
        <v>12321865</v>
      </c>
      <c r="AD58" s="2"/>
      <c r="AE58" s="2">
        <v>0</v>
      </c>
      <c r="AF58" s="19"/>
      <c r="AG58" s="2">
        <f t="shared" si="4"/>
        <v>17418237</v>
      </c>
    </row>
    <row r="59" spans="1:37">
      <c r="A59" s="13" t="s">
        <v>270</v>
      </c>
      <c r="B59" s="19"/>
      <c r="C59" s="19" t="s">
        <v>171</v>
      </c>
      <c r="E59" s="19">
        <v>62802</v>
      </c>
      <c r="G59" s="2">
        <v>387139</v>
      </c>
      <c r="H59" s="2"/>
      <c r="I59" s="2">
        <v>304435</v>
      </c>
      <c r="J59" s="2"/>
      <c r="K59" s="2">
        <v>0</v>
      </c>
      <c r="L59" s="2"/>
      <c r="M59" s="2">
        <f t="shared" si="2"/>
        <v>691574</v>
      </c>
      <c r="N59" s="2"/>
      <c r="O59" s="2">
        <v>3173343</v>
      </c>
      <c r="P59" s="6"/>
      <c r="Q59" s="2">
        <v>3787277</v>
      </c>
      <c r="R59" s="2"/>
      <c r="S59" s="2">
        <v>0</v>
      </c>
      <c r="T59" s="2"/>
      <c r="U59" s="2">
        <v>0</v>
      </c>
      <c r="V59" s="2"/>
      <c r="W59" s="2">
        <v>0</v>
      </c>
      <c r="X59" s="2"/>
      <c r="Y59" s="2">
        <v>269213</v>
      </c>
      <c r="AA59" s="2"/>
      <c r="AB59" s="2"/>
      <c r="AC59" s="2">
        <f t="shared" si="3"/>
        <v>7229833</v>
      </c>
      <c r="AD59" s="2"/>
      <c r="AE59" s="2">
        <v>0</v>
      </c>
      <c r="AF59" s="19"/>
      <c r="AG59" s="2">
        <f t="shared" si="4"/>
        <v>7921407</v>
      </c>
    </row>
    <row r="60" spans="1:37">
      <c r="A60" s="13" t="s">
        <v>287</v>
      </c>
      <c r="B60" s="19"/>
      <c r="C60" s="19" t="s">
        <v>220</v>
      </c>
      <c r="E60" s="19">
        <v>62125</v>
      </c>
      <c r="G60" s="2">
        <v>1778015</v>
      </c>
      <c r="H60" s="2"/>
      <c r="I60" s="2">
        <v>4892894</v>
      </c>
      <c r="J60" s="2"/>
      <c r="K60" s="2">
        <v>0</v>
      </c>
      <c r="L60" s="2"/>
      <c r="M60" s="2">
        <f t="shared" si="2"/>
        <v>6670909</v>
      </c>
      <c r="N60" s="2"/>
      <c r="O60" s="2">
        <v>6510986</v>
      </c>
      <c r="P60" s="6"/>
      <c r="Q60" s="2">
        <v>8485457</v>
      </c>
      <c r="R60" s="2"/>
      <c r="S60" s="2">
        <v>289095</v>
      </c>
      <c r="T60" s="2"/>
      <c r="U60" s="2">
        <v>0</v>
      </c>
      <c r="V60" s="2"/>
      <c r="W60" s="2">
        <v>54941</v>
      </c>
      <c r="X60" s="2"/>
      <c r="Y60" s="2">
        <v>51486</v>
      </c>
      <c r="AA60" s="2"/>
      <c r="AB60" s="2"/>
      <c r="AC60" s="2">
        <f t="shared" si="3"/>
        <v>15391965</v>
      </c>
      <c r="AD60" s="2"/>
      <c r="AE60" s="2">
        <v>0</v>
      </c>
      <c r="AF60" s="19"/>
      <c r="AG60" s="2">
        <f t="shared" si="4"/>
        <v>22062874</v>
      </c>
    </row>
    <row r="61" spans="1:37">
      <c r="A61" s="13" t="s">
        <v>343</v>
      </c>
      <c r="B61" s="19"/>
      <c r="C61" s="19" t="s">
        <v>240</v>
      </c>
      <c r="E61" s="19">
        <v>51458</v>
      </c>
      <c r="G61" s="2">
        <v>945084</v>
      </c>
      <c r="H61" s="2"/>
      <c r="I61" s="2">
        <v>2344621</v>
      </c>
      <c r="J61" s="2"/>
      <c r="K61" s="2">
        <v>0</v>
      </c>
      <c r="L61" s="2"/>
      <c r="M61" s="2">
        <f t="shared" si="2"/>
        <v>3289705</v>
      </c>
      <c r="N61" s="2"/>
      <c r="O61" s="2">
        <v>4016027</v>
      </c>
      <c r="P61" s="6"/>
      <c r="Q61" s="2">
        <v>7752854</v>
      </c>
      <c r="R61" s="2"/>
      <c r="S61" s="2">
        <v>507328</v>
      </c>
      <c r="T61" s="2"/>
      <c r="U61" s="2">
        <v>0</v>
      </c>
      <c r="V61" s="2"/>
      <c r="W61" s="2">
        <v>0</v>
      </c>
      <c r="X61" s="2"/>
      <c r="Y61" s="2">
        <v>94118</v>
      </c>
      <c r="AA61" s="2"/>
      <c r="AB61" s="2"/>
      <c r="AC61" s="2">
        <f t="shared" si="3"/>
        <v>12370327</v>
      </c>
      <c r="AD61" s="2"/>
      <c r="AE61" s="2">
        <v>0</v>
      </c>
      <c r="AF61" s="19"/>
      <c r="AG61" s="2">
        <f t="shared" si="4"/>
        <v>15660032</v>
      </c>
    </row>
    <row r="62" spans="1:37">
      <c r="A62" s="13" t="s">
        <v>344</v>
      </c>
      <c r="B62" s="19"/>
      <c r="C62" s="19" t="s">
        <v>256</v>
      </c>
      <c r="E62" s="19">
        <v>51672</v>
      </c>
      <c r="G62" s="2">
        <v>1183106</v>
      </c>
      <c r="H62" s="2"/>
      <c r="I62" s="2">
        <v>1536370</v>
      </c>
      <c r="J62" s="2"/>
      <c r="K62" s="2">
        <v>0</v>
      </c>
      <c r="L62" s="2"/>
      <c r="M62" s="2">
        <f t="shared" si="2"/>
        <v>2719476</v>
      </c>
      <c r="N62" s="2"/>
      <c r="O62" s="2">
        <v>2701623</v>
      </c>
      <c r="P62" s="6"/>
      <c r="Q62" s="2">
        <v>4055270</v>
      </c>
      <c r="R62" s="2"/>
      <c r="S62" s="2">
        <v>216101</v>
      </c>
      <c r="T62" s="2"/>
      <c r="U62" s="2">
        <v>0</v>
      </c>
      <c r="V62" s="2"/>
      <c r="W62" s="2">
        <v>0</v>
      </c>
      <c r="X62" s="2"/>
      <c r="Y62" s="2">
        <v>20496</v>
      </c>
      <c r="AA62" s="2"/>
      <c r="AB62" s="2"/>
      <c r="AC62" s="2">
        <f t="shared" si="3"/>
        <v>6993490</v>
      </c>
      <c r="AD62" s="2"/>
      <c r="AE62" s="2">
        <v>0</v>
      </c>
      <c r="AF62" s="19"/>
      <c r="AG62" s="2">
        <f t="shared" si="4"/>
        <v>9712966</v>
      </c>
    </row>
    <row r="63" spans="1:37">
      <c r="A63" s="13" t="s">
        <v>291</v>
      </c>
      <c r="B63" s="19"/>
      <c r="C63" s="19" t="s">
        <v>258</v>
      </c>
      <c r="E63" s="19">
        <v>51474</v>
      </c>
      <c r="G63" s="2">
        <v>2297948</v>
      </c>
      <c r="H63" s="2"/>
      <c r="I63" s="2">
        <v>1124326</v>
      </c>
      <c r="J63" s="2"/>
      <c r="K63" s="2">
        <v>0</v>
      </c>
      <c r="L63" s="2"/>
      <c r="M63" s="2">
        <f t="shared" si="2"/>
        <v>3422274</v>
      </c>
      <c r="N63" s="2"/>
      <c r="O63" s="2">
        <v>7866080</v>
      </c>
      <c r="P63" s="6"/>
      <c r="Q63" s="2">
        <v>5987192</v>
      </c>
      <c r="R63" s="2"/>
      <c r="S63" s="2">
        <v>391970</v>
      </c>
      <c r="T63" s="2"/>
      <c r="U63" s="2">
        <v>219464</v>
      </c>
      <c r="V63" s="2"/>
      <c r="W63" s="2">
        <v>0</v>
      </c>
      <c r="X63" s="2"/>
      <c r="Y63" s="2">
        <v>9512</v>
      </c>
      <c r="AA63" s="2"/>
      <c r="AB63" s="2"/>
      <c r="AC63" s="2">
        <f t="shared" si="3"/>
        <v>14474218</v>
      </c>
      <c r="AD63" s="2"/>
      <c r="AE63" s="2">
        <v>0</v>
      </c>
      <c r="AF63" s="19"/>
      <c r="AG63" s="2">
        <f t="shared" si="4"/>
        <v>17896492</v>
      </c>
      <c r="AH63" s="96" t="s">
        <v>427</v>
      </c>
    </row>
    <row r="64" spans="1:37">
      <c r="A64" s="13" t="s">
        <v>372</v>
      </c>
      <c r="B64" s="19"/>
      <c r="C64" s="19" t="s">
        <v>260</v>
      </c>
      <c r="E64" s="19">
        <v>51698</v>
      </c>
      <c r="G64" s="2">
        <v>1758128</v>
      </c>
      <c r="H64" s="2"/>
      <c r="I64" s="2">
        <v>1672228</v>
      </c>
      <c r="J64" s="2"/>
      <c r="K64" s="2">
        <v>3000</v>
      </c>
      <c r="L64" s="2"/>
      <c r="M64" s="2">
        <f t="shared" si="2"/>
        <v>3433356</v>
      </c>
      <c r="N64" s="2"/>
      <c r="O64" s="2">
        <v>2037184</v>
      </c>
      <c r="P64" s="6"/>
      <c r="Q64" s="2">
        <v>3093247</v>
      </c>
      <c r="R64" s="2"/>
      <c r="S64" s="2">
        <v>143481</v>
      </c>
      <c r="T64" s="2"/>
      <c r="U64" s="2">
        <v>43669</v>
      </c>
      <c r="V64" s="2"/>
      <c r="W64" s="2">
        <v>0</v>
      </c>
      <c r="X64" s="2"/>
      <c r="Y64" s="2">
        <v>55550</v>
      </c>
      <c r="AA64" s="2"/>
      <c r="AB64" s="2"/>
      <c r="AC64" s="2">
        <f t="shared" si="3"/>
        <v>5373131</v>
      </c>
      <c r="AD64" s="2"/>
      <c r="AE64" s="2">
        <v>0</v>
      </c>
      <c r="AF64" s="19"/>
      <c r="AG64" s="2">
        <f t="shared" si="4"/>
        <v>8806487</v>
      </c>
    </row>
    <row r="65" spans="1:34">
      <c r="A65" s="13" t="s">
        <v>345</v>
      </c>
      <c r="B65" s="19"/>
      <c r="C65" s="19" t="s">
        <v>262</v>
      </c>
      <c r="E65" s="19">
        <v>51714</v>
      </c>
      <c r="G65" s="2">
        <v>1784998</v>
      </c>
      <c r="H65" s="2"/>
      <c r="I65" s="2">
        <v>1753207</v>
      </c>
      <c r="J65" s="2"/>
      <c r="K65" s="2">
        <v>18449191</v>
      </c>
      <c r="L65" s="2"/>
      <c r="M65" s="2">
        <f t="shared" si="2"/>
        <v>21987396</v>
      </c>
      <c r="N65" s="2"/>
      <c r="O65" s="2">
        <v>5476901</v>
      </c>
      <c r="P65" s="6"/>
      <c r="Q65" s="2">
        <v>7208012</v>
      </c>
      <c r="R65" s="2"/>
      <c r="S65" s="2">
        <v>106791</v>
      </c>
      <c r="T65" s="2"/>
      <c r="U65" s="2">
        <v>82600</v>
      </c>
      <c r="V65" s="2"/>
      <c r="W65" s="2">
        <v>0</v>
      </c>
      <c r="X65" s="2"/>
      <c r="Y65" s="2">
        <v>20119</v>
      </c>
      <c r="AA65" s="2"/>
      <c r="AB65" s="2"/>
      <c r="AC65" s="2">
        <f t="shared" si="3"/>
        <v>12894423</v>
      </c>
      <c r="AD65" s="2"/>
      <c r="AE65" s="2">
        <v>0</v>
      </c>
      <c r="AF65" s="19"/>
      <c r="AG65" s="2">
        <f t="shared" si="4"/>
        <v>34881819</v>
      </c>
    </row>
    <row r="66" spans="1:34">
      <c r="A66" s="13"/>
      <c r="B66" s="19"/>
      <c r="C66" s="19"/>
      <c r="E66" s="19"/>
      <c r="G66" s="2"/>
      <c r="H66" s="2"/>
      <c r="I66" s="2"/>
      <c r="J66" s="2"/>
      <c r="K66" s="2"/>
      <c r="L66" s="2"/>
      <c r="M66" s="2"/>
      <c r="N66" s="2"/>
      <c r="O66" s="2"/>
      <c r="P66" s="6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19"/>
      <c r="AG66" s="2"/>
    </row>
    <row r="67" spans="1:34">
      <c r="A67" s="2"/>
      <c r="B67" s="19"/>
      <c r="C67" s="19"/>
      <c r="E67" s="19"/>
      <c r="G67" s="2"/>
      <c r="H67" s="2"/>
      <c r="I67" s="2"/>
      <c r="J67" s="2"/>
      <c r="K67" s="2"/>
      <c r="L67" s="2"/>
      <c r="M67" s="2"/>
      <c r="N67" s="2"/>
      <c r="O67" s="2"/>
      <c r="P67" s="6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19"/>
      <c r="AG67" s="2" t="s">
        <v>348</v>
      </c>
    </row>
    <row r="68" spans="1:34">
      <c r="A68" s="56" t="s">
        <v>347</v>
      </c>
      <c r="B68" s="19"/>
      <c r="C68" s="19"/>
      <c r="E68" s="19"/>
      <c r="G68" s="2"/>
      <c r="H68" s="2"/>
      <c r="I68" s="2"/>
      <c r="J68" s="2"/>
      <c r="K68" s="2"/>
      <c r="L68" s="2"/>
      <c r="M68" s="2"/>
      <c r="N68" s="2"/>
      <c r="O68" s="2"/>
      <c r="P68" s="6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19"/>
      <c r="AG68" s="2"/>
    </row>
    <row r="69" spans="1:34" s="99" customFormat="1" hidden="1">
      <c r="A69" s="13" t="s">
        <v>415</v>
      </c>
      <c r="B69" s="13"/>
      <c r="C69" s="13" t="s">
        <v>365</v>
      </c>
      <c r="E69" s="60">
        <v>45849</v>
      </c>
      <c r="G69" s="81">
        <v>5427060</v>
      </c>
      <c r="H69" s="81"/>
      <c r="I69" s="81">
        <v>505311</v>
      </c>
      <c r="J69" s="81"/>
      <c r="K69" s="81"/>
      <c r="L69" s="81"/>
      <c r="M69" s="81">
        <f t="shared" si="2"/>
        <v>5932371</v>
      </c>
      <c r="N69" s="81"/>
      <c r="O69" s="81"/>
      <c r="P69" s="85"/>
      <c r="Q69" s="81">
        <v>1082373</v>
      </c>
      <c r="R69" s="81"/>
      <c r="S69" s="81">
        <v>6159</v>
      </c>
      <c r="T69" s="81"/>
      <c r="U69" s="81"/>
      <c r="V69" s="81"/>
      <c r="W69" s="81"/>
      <c r="X69" s="81"/>
      <c r="Y69" s="81">
        <v>72343</v>
      </c>
      <c r="Z69" s="109"/>
      <c r="AA69" s="81"/>
      <c r="AB69" s="81"/>
      <c r="AC69" s="81">
        <f>SUM(O69:AA69)</f>
        <v>1160875</v>
      </c>
      <c r="AD69" s="81"/>
      <c r="AE69" s="81">
        <v>0</v>
      </c>
      <c r="AF69" s="81"/>
      <c r="AG69" s="81">
        <f t="shared" ref="AG69:AG99" si="6">+AC69+M69</f>
        <v>7093246</v>
      </c>
      <c r="AH69" s="60" t="s">
        <v>400</v>
      </c>
    </row>
    <row r="70" spans="1:34" s="99" customFormat="1" hidden="1">
      <c r="A70" s="13" t="s">
        <v>416</v>
      </c>
      <c r="B70" s="13"/>
      <c r="C70" s="13" t="s">
        <v>156</v>
      </c>
      <c r="E70" s="60"/>
      <c r="G70" s="81">
        <v>1643390</v>
      </c>
      <c r="H70" s="81"/>
      <c r="I70" s="81">
        <v>2015142</v>
      </c>
      <c r="J70" s="81"/>
      <c r="K70" s="81"/>
      <c r="L70" s="81"/>
      <c r="M70" s="81">
        <f>SUM(G70:L70)</f>
        <v>3658532</v>
      </c>
      <c r="N70" s="81"/>
      <c r="O70" s="81"/>
      <c r="P70" s="85"/>
      <c r="Q70" s="81">
        <v>3755589</v>
      </c>
      <c r="R70" s="81"/>
      <c r="S70" s="81">
        <v>39947</v>
      </c>
      <c r="T70" s="81"/>
      <c r="U70" s="81"/>
      <c r="V70" s="81"/>
      <c r="W70" s="81">
        <v>950</v>
      </c>
      <c r="X70" s="81"/>
      <c r="Y70" s="81">
        <v>87036</v>
      </c>
      <c r="Z70" s="109"/>
      <c r="AA70" s="81"/>
      <c r="AB70" s="81"/>
      <c r="AC70" s="81">
        <f>SUM(O70:AA70)</f>
        <v>3883522</v>
      </c>
      <c r="AD70" s="81"/>
      <c r="AE70" s="81">
        <v>0</v>
      </c>
      <c r="AF70" s="81"/>
      <c r="AG70" s="81">
        <f t="shared" si="6"/>
        <v>7542054</v>
      </c>
      <c r="AH70" s="60" t="s">
        <v>400</v>
      </c>
    </row>
    <row r="71" spans="1:34" s="99" customFormat="1">
      <c r="A71" s="60" t="s">
        <v>161</v>
      </c>
      <c r="B71" s="60"/>
      <c r="C71" s="60" t="s">
        <v>157</v>
      </c>
      <c r="E71" s="60">
        <v>135145</v>
      </c>
      <c r="G71" s="81">
        <v>4230344</v>
      </c>
      <c r="H71" s="81"/>
      <c r="I71" s="81">
        <v>3474144</v>
      </c>
      <c r="J71" s="81"/>
      <c r="K71" s="81">
        <v>0</v>
      </c>
      <c r="L71" s="81"/>
      <c r="M71" s="81">
        <f t="shared" si="2"/>
        <v>7704488</v>
      </c>
      <c r="N71" s="81"/>
      <c r="O71" s="81">
        <v>0</v>
      </c>
      <c r="P71" s="85"/>
      <c r="Q71" s="81">
        <v>540918</v>
      </c>
      <c r="R71" s="81"/>
      <c r="S71" s="81">
        <v>28241</v>
      </c>
      <c r="T71" s="81"/>
      <c r="U71" s="81">
        <v>0</v>
      </c>
      <c r="V71" s="81"/>
      <c r="W71" s="81">
        <v>3</v>
      </c>
      <c r="X71" s="81"/>
      <c r="Y71" s="81">
        <v>83377</v>
      </c>
      <c r="Z71" s="109"/>
      <c r="AA71" s="81"/>
      <c r="AB71" s="81"/>
      <c r="AC71" s="81">
        <f>SUM(O71:AA71)</f>
        <v>652539</v>
      </c>
      <c r="AD71" s="81"/>
      <c r="AE71" s="81">
        <v>0</v>
      </c>
      <c r="AF71" s="81"/>
      <c r="AG71" s="81">
        <f t="shared" si="6"/>
        <v>8357027</v>
      </c>
      <c r="AH71" s="13"/>
    </row>
    <row r="72" spans="1:34" s="99" customFormat="1" hidden="1">
      <c r="A72" s="13" t="s">
        <v>417</v>
      </c>
      <c r="B72" s="13"/>
      <c r="C72" s="13" t="s">
        <v>369</v>
      </c>
      <c r="E72" s="60"/>
      <c r="G72" s="13">
        <v>5602873</v>
      </c>
      <c r="H72" s="13"/>
      <c r="I72" s="13">
        <v>3062725</v>
      </c>
      <c r="J72" s="13"/>
      <c r="K72" s="13"/>
      <c r="L72" s="13"/>
      <c r="M72" s="13">
        <f>SUM(G72:L72)</f>
        <v>8665598</v>
      </c>
      <c r="N72" s="13"/>
      <c r="O72" s="13"/>
      <c r="P72" s="10"/>
      <c r="Q72" s="13">
        <v>276739</v>
      </c>
      <c r="R72" s="13"/>
      <c r="S72" s="13">
        <v>27753</v>
      </c>
      <c r="T72" s="13"/>
      <c r="U72" s="13"/>
      <c r="V72" s="13"/>
      <c r="W72" s="13"/>
      <c r="X72" s="13"/>
      <c r="Y72" s="13">
        <v>119069</v>
      </c>
      <c r="AA72" s="13"/>
      <c r="AB72" s="13"/>
      <c r="AC72" s="13">
        <f t="shared" ref="AC72:AC129" si="7">SUM(O72:AA72)</f>
        <v>423561</v>
      </c>
      <c r="AD72" s="13"/>
      <c r="AE72" s="13">
        <v>0</v>
      </c>
      <c r="AF72" s="60"/>
      <c r="AG72" s="13">
        <f t="shared" si="6"/>
        <v>9089159</v>
      </c>
      <c r="AH72" s="60" t="s">
        <v>400</v>
      </c>
    </row>
    <row r="73" spans="1:34">
      <c r="A73" s="19" t="s">
        <v>163</v>
      </c>
      <c r="B73" s="19"/>
      <c r="C73" s="19" t="s">
        <v>164</v>
      </c>
      <c r="E73" s="19">
        <v>46029</v>
      </c>
      <c r="G73" s="2">
        <v>3529994</v>
      </c>
      <c r="H73" s="2"/>
      <c r="I73" s="2">
        <v>480279</v>
      </c>
      <c r="J73" s="2"/>
      <c r="K73" s="2">
        <v>0</v>
      </c>
      <c r="L73" s="2"/>
      <c r="M73" s="2">
        <f t="shared" si="2"/>
        <v>4010273</v>
      </c>
      <c r="N73" s="2"/>
      <c r="O73" s="2">
        <v>0</v>
      </c>
      <c r="P73" s="6"/>
      <c r="Q73" s="2">
        <v>477217</v>
      </c>
      <c r="R73" s="2"/>
      <c r="S73" s="2">
        <v>50301</v>
      </c>
      <c r="T73" s="2"/>
      <c r="U73" s="2">
        <v>0</v>
      </c>
      <c r="V73" s="2"/>
      <c r="W73" s="2">
        <v>1750</v>
      </c>
      <c r="X73" s="2"/>
      <c r="Y73" s="2">
        <v>0</v>
      </c>
      <c r="AA73" s="2"/>
      <c r="AB73" s="2"/>
      <c r="AC73" s="2">
        <f t="shared" si="7"/>
        <v>529268</v>
      </c>
      <c r="AD73" s="2"/>
      <c r="AE73" s="2">
        <v>0</v>
      </c>
      <c r="AF73" s="19"/>
      <c r="AG73" s="2">
        <f t="shared" si="6"/>
        <v>4539541</v>
      </c>
    </row>
    <row r="74" spans="1:34">
      <c r="A74" s="19" t="s">
        <v>165</v>
      </c>
      <c r="B74" s="19"/>
      <c r="C74" s="19" t="s">
        <v>159</v>
      </c>
      <c r="E74" s="19">
        <v>46086</v>
      </c>
      <c r="G74" s="2">
        <v>4689380</v>
      </c>
      <c r="H74" s="2"/>
      <c r="I74" s="2">
        <v>4585022</v>
      </c>
      <c r="J74" s="2"/>
      <c r="K74" s="2">
        <v>0</v>
      </c>
      <c r="L74" s="2"/>
      <c r="M74" s="2">
        <f t="shared" si="2"/>
        <v>9274402</v>
      </c>
      <c r="N74" s="2"/>
      <c r="O74" s="2">
        <v>0</v>
      </c>
      <c r="P74" s="6"/>
      <c r="Q74" s="2">
        <v>1977343</v>
      </c>
      <c r="R74" s="2"/>
      <c r="S74" s="2">
        <v>12453</v>
      </c>
      <c r="T74" s="2"/>
      <c r="U74" s="2">
        <v>0</v>
      </c>
      <c r="V74" s="2"/>
      <c r="W74" s="2">
        <v>0</v>
      </c>
      <c r="X74" s="2"/>
      <c r="Y74" s="2">
        <v>429940</v>
      </c>
      <c r="AA74" s="2"/>
      <c r="AB74" s="2"/>
      <c r="AC74" s="2">
        <f t="shared" si="7"/>
        <v>2419736</v>
      </c>
      <c r="AD74" s="2"/>
      <c r="AE74" s="2">
        <v>0</v>
      </c>
      <c r="AF74" s="19"/>
      <c r="AG74" s="2">
        <f t="shared" si="6"/>
        <v>11694138</v>
      </c>
    </row>
    <row r="75" spans="1:34">
      <c r="A75" s="19" t="s">
        <v>168</v>
      </c>
      <c r="B75" s="19"/>
      <c r="C75" s="19" t="s">
        <v>169</v>
      </c>
      <c r="E75" s="19">
        <v>46227</v>
      </c>
      <c r="G75" s="2">
        <v>4045883</v>
      </c>
      <c r="H75" s="2"/>
      <c r="I75" s="2">
        <v>921878</v>
      </c>
      <c r="J75" s="2"/>
      <c r="K75" s="2">
        <v>0</v>
      </c>
      <c r="L75" s="2"/>
      <c r="M75" s="2">
        <f t="shared" si="2"/>
        <v>4967761</v>
      </c>
      <c r="N75" s="2"/>
      <c r="O75" s="2">
        <v>0</v>
      </c>
      <c r="P75" s="6"/>
      <c r="Q75" s="2">
        <v>1165526</v>
      </c>
      <c r="R75" s="2"/>
      <c r="S75" s="2">
        <v>0</v>
      </c>
      <c r="T75" s="2"/>
      <c r="U75" s="2">
        <v>0</v>
      </c>
      <c r="V75" s="2"/>
      <c r="W75" s="2">
        <v>0</v>
      </c>
      <c r="X75" s="2"/>
      <c r="Y75" s="2">
        <v>161439</v>
      </c>
      <c r="AA75" s="2"/>
      <c r="AB75" s="2"/>
      <c r="AC75" s="2">
        <f t="shared" si="7"/>
        <v>1326965</v>
      </c>
      <c r="AD75" s="2"/>
      <c r="AE75" s="2">
        <v>0</v>
      </c>
      <c r="AF75" s="19"/>
      <c r="AG75" s="2">
        <f t="shared" si="6"/>
        <v>6294726</v>
      </c>
    </row>
    <row r="76" spans="1:34">
      <c r="A76" s="19" t="s">
        <v>170</v>
      </c>
      <c r="B76" s="19"/>
      <c r="C76" s="19" t="s">
        <v>171</v>
      </c>
      <c r="E76" s="19">
        <v>46292</v>
      </c>
      <c r="G76" s="2">
        <v>15562306</v>
      </c>
      <c r="H76" s="2"/>
      <c r="I76" s="2">
        <v>1414894</v>
      </c>
      <c r="J76" s="2"/>
      <c r="K76" s="2">
        <v>0</v>
      </c>
      <c r="L76" s="2"/>
      <c r="M76" s="2">
        <f t="shared" si="2"/>
        <v>16977200</v>
      </c>
      <c r="N76" s="2"/>
      <c r="O76" s="2">
        <v>0</v>
      </c>
      <c r="P76" s="6"/>
      <c r="Q76" s="2">
        <v>993921</v>
      </c>
      <c r="R76" s="2"/>
      <c r="S76" s="2">
        <v>61172</v>
      </c>
      <c r="T76" s="2"/>
      <c r="U76" s="2">
        <v>0</v>
      </c>
      <c r="V76" s="2"/>
      <c r="W76" s="2">
        <v>145926</v>
      </c>
      <c r="X76" s="2"/>
      <c r="Y76" s="2">
        <v>84031</v>
      </c>
      <c r="AA76" s="2"/>
      <c r="AB76" s="2"/>
      <c r="AC76" s="2">
        <f t="shared" si="7"/>
        <v>1285050</v>
      </c>
      <c r="AD76" s="2"/>
      <c r="AE76" s="2">
        <v>0</v>
      </c>
      <c r="AF76" s="19"/>
      <c r="AG76" s="2">
        <f t="shared" si="6"/>
        <v>18262250</v>
      </c>
    </row>
    <row r="77" spans="1:34" s="99" customFormat="1" hidden="1">
      <c r="A77" s="60" t="s">
        <v>429</v>
      </c>
      <c r="B77" s="60"/>
      <c r="C77" s="60" t="s">
        <v>173</v>
      </c>
      <c r="E77" s="60">
        <v>46375</v>
      </c>
      <c r="G77" s="13"/>
      <c r="H77" s="13"/>
      <c r="I77" s="13"/>
      <c r="J77" s="13"/>
      <c r="K77" s="13"/>
      <c r="L77" s="13"/>
      <c r="M77" s="13">
        <f t="shared" si="2"/>
        <v>0</v>
      </c>
      <c r="N77" s="13"/>
      <c r="O77" s="13"/>
      <c r="P77" s="10"/>
      <c r="Q77" s="13"/>
      <c r="R77" s="13"/>
      <c r="S77" s="13"/>
      <c r="T77" s="13"/>
      <c r="U77" s="13"/>
      <c r="V77" s="13"/>
      <c r="W77" s="13"/>
      <c r="X77" s="13"/>
      <c r="Y77" s="13"/>
      <c r="AA77" s="13"/>
      <c r="AB77" s="13"/>
      <c r="AC77" s="13">
        <f t="shared" si="7"/>
        <v>0</v>
      </c>
      <c r="AD77" s="13"/>
      <c r="AE77" s="13">
        <v>0</v>
      </c>
      <c r="AF77" s="60"/>
      <c r="AG77" s="13">
        <f t="shared" si="6"/>
        <v>0</v>
      </c>
      <c r="AH77" s="80" t="s">
        <v>406</v>
      </c>
    </row>
    <row r="78" spans="1:34">
      <c r="A78" s="19" t="s">
        <v>174</v>
      </c>
      <c r="B78" s="19"/>
      <c r="C78" s="19" t="s">
        <v>175</v>
      </c>
      <c r="E78" s="19">
        <v>46417</v>
      </c>
      <c r="G78" s="2">
        <v>7349869</v>
      </c>
      <c r="H78" s="2"/>
      <c r="I78" s="2">
        <v>1870932</v>
      </c>
      <c r="J78" s="2"/>
      <c r="K78" s="2">
        <v>3078</v>
      </c>
      <c r="L78" s="2"/>
      <c r="M78" s="2">
        <f t="shared" si="2"/>
        <v>9223879</v>
      </c>
      <c r="N78" s="2"/>
      <c r="O78" s="2">
        <v>0</v>
      </c>
      <c r="P78" s="6"/>
      <c r="Q78" s="2">
        <v>480989</v>
      </c>
      <c r="R78" s="2"/>
      <c r="S78" s="2">
        <v>2827</v>
      </c>
      <c r="T78" s="2"/>
      <c r="U78" s="2">
        <v>0</v>
      </c>
      <c r="V78" s="2"/>
      <c r="W78" s="2">
        <v>0</v>
      </c>
      <c r="X78" s="2"/>
      <c r="Y78" s="2">
        <v>2123</v>
      </c>
      <c r="AA78" s="2"/>
      <c r="AB78" s="2"/>
      <c r="AC78" s="2">
        <f t="shared" si="7"/>
        <v>485939</v>
      </c>
      <c r="AD78" s="2"/>
      <c r="AE78" s="2">
        <v>0</v>
      </c>
      <c r="AF78" s="19"/>
      <c r="AG78" s="2">
        <f t="shared" si="6"/>
        <v>9709818</v>
      </c>
    </row>
    <row r="79" spans="1:34">
      <c r="A79" s="19" t="s">
        <v>176</v>
      </c>
      <c r="B79" s="19"/>
      <c r="C79" s="19" t="s">
        <v>177</v>
      </c>
      <c r="E79" s="19">
        <v>46532</v>
      </c>
      <c r="G79" s="2">
        <v>45246155</v>
      </c>
      <c r="H79" s="2"/>
      <c r="I79" s="2">
        <v>15292202</v>
      </c>
      <c r="J79" s="2"/>
      <c r="K79" s="2">
        <v>0</v>
      </c>
      <c r="L79" s="2"/>
      <c r="M79" s="2">
        <f t="shared" si="2"/>
        <v>60538357</v>
      </c>
      <c r="N79" s="2"/>
      <c r="O79" s="2">
        <v>0</v>
      </c>
      <c r="P79" s="6"/>
      <c r="Q79" s="2">
        <v>6311011</v>
      </c>
      <c r="R79" s="2"/>
      <c r="S79" s="2">
        <v>389229</v>
      </c>
      <c r="T79" s="2"/>
      <c r="U79" s="2">
        <v>0</v>
      </c>
      <c r="V79" s="2"/>
      <c r="W79" s="2">
        <v>0</v>
      </c>
      <c r="X79" s="2"/>
      <c r="Y79" s="2">
        <v>654113</v>
      </c>
      <c r="AA79" s="2"/>
      <c r="AB79" s="2"/>
      <c r="AC79" s="2">
        <f t="shared" si="7"/>
        <v>7354353</v>
      </c>
      <c r="AD79" s="2"/>
      <c r="AE79" s="2">
        <v>0</v>
      </c>
      <c r="AF79" s="19"/>
      <c r="AG79" s="2">
        <f t="shared" si="6"/>
        <v>67892710</v>
      </c>
    </row>
    <row r="80" spans="1:34" hidden="1">
      <c r="A80" s="13" t="s">
        <v>395</v>
      </c>
      <c r="B80" s="19"/>
      <c r="C80" s="19" t="s">
        <v>179</v>
      </c>
      <c r="E80" s="19">
        <v>46615</v>
      </c>
      <c r="G80" s="2">
        <v>1758245</v>
      </c>
      <c r="H80" s="2"/>
      <c r="I80" s="2">
        <v>1041105</v>
      </c>
      <c r="J80" s="2"/>
      <c r="K80" s="2"/>
      <c r="L80" s="2"/>
      <c r="M80" s="2">
        <f t="shared" si="2"/>
        <v>2799350</v>
      </c>
      <c r="N80" s="2"/>
      <c r="O80" s="2"/>
      <c r="P80" s="6"/>
      <c r="Q80" s="2">
        <v>696004</v>
      </c>
      <c r="R80" s="2"/>
      <c r="S80" s="2">
        <v>18565</v>
      </c>
      <c r="T80" s="2"/>
      <c r="U80" s="2"/>
      <c r="V80" s="2"/>
      <c r="W80" s="2"/>
      <c r="X80" s="2"/>
      <c r="Y80" s="2">
        <v>547</v>
      </c>
      <c r="AA80" s="2"/>
      <c r="AB80" s="2"/>
      <c r="AC80" s="2">
        <f t="shared" si="7"/>
        <v>715116</v>
      </c>
      <c r="AD80" s="2"/>
      <c r="AE80" s="2">
        <v>0</v>
      </c>
      <c r="AF80" s="19"/>
      <c r="AG80" s="2">
        <f t="shared" si="6"/>
        <v>3514466</v>
      </c>
      <c r="AH80" s="63" t="s">
        <v>373</v>
      </c>
    </row>
    <row r="81" spans="1:34" s="99" customFormat="1" hidden="1">
      <c r="A81" s="60" t="s">
        <v>180</v>
      </c>
      <c r="B81" s="60"/>
      <c r="C81" s="60" t="s">
        <v>181</v>
      </c>
      <c r="E81" s="60">
        <v>46730</v>
      </c>
      <c r="G81" s="13"/>
      <c r="H81" s="13"/>
      <c r="I81" s="13"/>
      <c r="J81" s="13"/>
      <c r="K81" s="13"/>
      <c r="L81" s="13"/>
      <c r="M81" s="13">
        <f t="shared" si="2"/>
        <v>0</v>
      </c>
      <c r="N81" s="13"/>
      <c r="O81" s="13"/>
      <c r="P81" s="10"/>
      <c r="Q81" s="13"/>
      <c r="R81" s="13"/>
      <c r="S81" s="13"/>
      <c r="T81" s="13"/>
      <c r="U81" s="13"/>
      <c r="V81" s="13"/>
      <c r="W81" s="13"/>
      <c r="X81" s="13"/>
      <c r="Y81" s="13"/>
      <c r="AA81" s="13"/>
      <c r="AB81" s="13"/>
      <c r="AC81" s="13">
        <f t="shared" si="7"/>
        <v>0</v>
      </c>
      <c r="AD81" s="13"/>
      <c r="AE81" s="13">
        <v>0</v>
      </c>
      <c r="AF81" s="60"/>
      <c r="AG81" s="13">
        <f t="shared" si="6"/>
        <v>0</v>
      </c>
      <c r="AH81" s="80" t="s">
        <v>410</v>
      </c>
    </row>
    <row r="82" spans="1:34" s="99" customFormat="1" hidden="1">
      <c r="A82" s="60" t="s">
        <v>412</v>
      </c>
      <c r="B82" s="60"/>
      <c r="C82" s="60" t="s">
        <v>183</v>
      </c>
      <c r="E82" s="60">
        <v>125690</v>
      </c>
      <c r="G82" s="13"/>
      <c r="H82" s="13"/>
      <c r="I82" s="13"/>
      <c r="J82" s="13"/>
      <c r="K82" s="13"/>
      <c r="L82" s="13"/>
      <c r="M82" s="13">
        <f t="shared" si="2"/>
        <v>0</v>
      </c>
      <c r="N82" s="13"/>
      <c r="O82" s="13"/>
      <c r="P82" s="10"/>
      <c r="Q82" s="13"/>
      <c r="R82" s="13"/>
      <c r="S82" s="13"/>
      <c r="T82" s="13"/>
      <c r="U82" s="13"/>
      <c r="V82" s="13"/>
      <c r="W82" s="13"/>
      <c r="X82" s="13"/>
      <c r="Y82" s="13"/>
      <c r="AA82" s="13"/>
      <c r="AB82" s="13"/>
      <c r="AC82" s="13">
        <f t="shared" si="7"/>
        <v>0</v>
      </c>
      <c r="AD82" s="13"/>
      <c r="AE82" s="13">
        <v>0</v>
      </c>
      <c r="AF82" s="60"/>
      <c r="AG82" s="13">
        <f t="shared" si="6"/>
        <v>0</v>
      </c>
      <c r="AH82" s="80" t="s">
        <v>414</v>
      </c>
    </row>
    <row r="83" spans="1:34">
      <c r="A83" s="19" t="s">
        <v>184</v>
      </c>
      <c r="B83" s="19"/>
      <c r="C83" s="19" t="s">
        <v>185</v>
      </c>
      <c r="E83" s="19">
        <v>46839</v>
      </c>
      <c r="G83" s="2">
        <v>4895924</v>
      </c>
      <c r="H83" s="2"/>
      <c r="I83" s="2">
        <v>698265</v>
      </c>
      <c r="J83" s="2"/>
      <c r="K83" s="2">
        <v>0</v>
      </c>
      <c r="L83" s="2"/>
      <c r="M83" s="2">
        <f t="shared" si="2"/>
        <v>5594189</v>
      </c>
      <c r="N83" s="2"/>
      <c r="O83" s="2">
        <v>0</v>
      </c>
      <c r="P83" s="6"/>
      <c r="Q83" s="2">
        <v>680742</v>
      </c>
      <c r="R83" s="2"/>
      <c r="S83" s="2">
        <v>9888</v>
      </c>
      <c r="T83" s="2"/>
      <c r="U83" s="2">
        <v>0</v>
      </c>
      <c r="V83" s="2"/>
      <c r="W83" s="2">
        <v>0</v>
      </c>
      <c r="X83" s="2"/>
      <c r="Y83" s="2">
        <v>1863083</v>
      </c>
      <c r="AA83" s="2"/>
      <c r="AB83" s="2"/>
      <c r="AC83" s="2">
        <f t="shared" si="7"/>
        <v>2553713</v>
      </c>
      <c r="AD83" s="2"/>
      <c r="AE83" s="2">
        <v>0</v>
      </c>
      <c r="AF83" s="19"/>
      <c r="AG83" s="2">
        <f t="shared" si="6"/>
        <v>8147902</v>
      </c>
      <c r="AH83" s="19"/>
    </row>
    <row r="84" spans="1:34">
      <c r="A84" s="2" t="s">
        <v>433</v>
      </c>
      <c r="B84" s="19"/>
      <c r="C84" s="19" t="s">
        <v>186</v>
      </c>
      <c r="E84" s="19">
        <v>46938</v>
      </c>
      <c r="G84" s="2">
        <v>41730856</v>
      </c>
      <c r="H84" s="2"/>
      <c r="I84" s="2">
        <v>10641393</v>
      </c>
      <c r="J84" s="2"/>
      <c r="K84" s="2">
        <v>0</v>
      </c>
      <c r="L84" s="2"/>
      <c r="M84" s="2">
        <f t="shared" si="2"/>
        <v>52372249</v>
      </c>
      <c r="N84" s="2"/>
      <c r="O84" s="2">
        <v>0</v>
      </c>
      <c r="P84" s="6"/>
      <c r="Q84" s="2">
        <v>4560256</v>
      </c>
      <c r="R84" s="2"/>
      <c r="S84" s="2">
        <v>183001</v>
      </c>
      <c r="T84" s="2"/>
      <c r="U84" s="2">
        <v>0</v>
      </c>
      <c r="V84" s="2"/>
      <c r="W84" s="2">
        <v>0</v>
      </c>
      <c r="X84" s="2"/>
      <c r="Y84" s="2">
        <v>366092</v>
      </c>
      <c r="AA84" s="2"/>
      <c r="AB84" s="2"/>
      <c r="AC84" s="2">
        <f t="shared" si="7"/>
        <v>5109349</v>
      </c>
      <c r="AD84" s="2"/>
      <c r="AE84" s="2">
        <v>1196679</v>
      </c>
      <c r="AF84" s="19"/>
      <c r="AG84" s="2">
        <f>+AC84+M84+AE84</f>
        <v>58678277</v>
      </c>
      <c r="AH84" s="60" t="s">
        <v>409</v>
      </c>
    </row>
    <row r="85" spans="1:34">
      <c r="A85" s="19" t="s">
        <v>188</v>
      </c>
      <c r="B85" s="19"/>
      <c r="C85" s="19" t="s">
        <v>189</v>
      </c>
      <c r="E85" s="19">
        <v>125682</v>
      </c>
      <c r="G85" s="2">
        <v>949203</v>
      </c>
      <c r="H85" s="2"/>
      <c r="I85" s="2">
        <v>1434681</v>
      </c>
      <c r="J85" s="2"/>
      <c r="K85" s="2">
        <v>0</v>
      </c>
      <c r="L85" s="2"/>
      <c r="M85" s="2">
        <f t="shared" si="2"/>
        <v>2383884</v>
      </c>
      <c r="N85" s="2"/>
      <c r="O85" s="2">
        <v>0</v>
      </c>
      <c r="P85" s="6"/>
      <c r="Q85" s="2">
        <v>169421</v>
      </c>
      <c r="R85" s="2"/>
      <c r="S85" s="2">
        <v>32459</v>
      </c>
      <c r="T85" s="2"/>
      <c r="U85" s="2">
        <v>0</v>
      </c>
      <c r="V85" s="2"/>
      <c r="W85" s="2">
        <v>0</v>
      </c>
      <c r="X85" s="2"/>
      <c r="Y85" s="2">
        <v>54408</v>
      </c>
      <c r="AA85" s="2"/>
      <c r="AB85" s="2"/>
      <c r="AC85" s="2">
        <f t="shared" si="7"/>
        <v>256288</v>
      </c>
      <c r="AD85" s="2"/>
      <c r="AE85" s="2">
        <v>0</v>
      </c>
      <c r="AF85" s="19"/>
      <c r="AG85" s="2">
        <f t="shared" si="6"/>
        <v>2640172</v>
      </c>
    </row>
    <row r="86" spans="1:34" hidden="1">
      <c r="A86" s="106" t="s">
        <v>430</v>
      </c>
      <c r="B86" s="19"/>
      <c r="C86" s="19" t="s">
        <v>191</v>
      </c>
      <c r="E86" s="19">
        <v>47159</v>
      </c>
      <c r="G86" s="2"/>
      <c r="H86" s="2"/>
      <c r="I86" s="2"/>
      <c r="J86" s="2"/>
      <c r="K86" s="2"/>
      <c r="L86" s="2"/>
      <c r="M86" s="2">
        <f t="shared" si="2"/>
        <v>0</v>
      </c>
      <c r="N86" s="2"/>
      <c r="O86" s="2"/>
      <c r="P86" s="6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>
        <f t="shared" si="7"/>
        <v>0</v>
      </c>
      <c r="AD86" s="2"/>
      <c r="AE86" s="2">
        <v>0</v>
      </c>
      <c r="AF86" s="19"/>
      <c r="AG86" s="2">
        <f t="shared" si="6"/>
        <v>0</v>
      </c>
      <c r="AH86" s="72" t="s">
        <v>394</v>
      </c>
    </row>
    <row r="87" spans="1:34">
      <c r="A87" s="19" t="s">
        <v>192</v>
      </c>
      <c r="B87" s="19"/>
      <c r="C87" s="19" t="s">
        <v>193</v>
      </c>
      <c r="E87" s="19">
        <v>47233</v>
      </c>
      <c r="G87" s="2">
        <v>10322348</v>
      </c>
      <c r="H87" s="2"/>
      <c r="I87" s="2">
        <v>1258046</v>
      </c>
      <c r="J87" s="2"/>
      <c r="K87" s="2">
        <v>0</v>
      </c>
      <c r="L87" s="2"/>
      <c r="M87" s="2">
        <f t="shared" ref="M87:M129" si="8">SUM(G87:L87)</f>
        <v>11580394</v>
      </c>
      <c r="N87" s="2"/>
      <c r="O87" s="2">
        <v>0</v>
      </c>
      <c r="P87" s="6"/>
      <c r="Q87" s="2">
        <v>1395276</v>
      </c>
      <c r="R87" s="2"/>
      <c r="S87" s="2">
        <v>22446</v>
      </c>
      <c r="T87" s="2"/>
      <c r="U87" s="2">
        <v>0</v>
      </c>
      <c r="V87" s="2"/>
      <c r="W87" s="2">
        <v>0</v>
      </c>
      <c r="X87" s="2"/>
      <c r="Y87" s="2">
        <v>269108</v>
      </c>
      <c r="AA87" s="2"/>
      <c r="AB87" s="2"/>
      <c r="AC87" s="2">
        <f t="shared" si="7"/>
        <v>1686830</v>
      </c>
      <c r="AD87" s="2"/>
      <c r="AE87" s="2">
        <v>0</v>
      </c>
      <c r="AF87" s="19"/>
      <c r="AG87" s="2">
        <f t="shared" si="6"/>
        <v>13267224</v>
      </c>
    </row>
    <row r="88" spans="1:34">
      <c r="A88" s="19" t="s">
        <v>194</v>
      </c>
      <c r="B88" s="19"/>
      <c r="C88" s="19" t="s">
        <v>195</v>
      </c>
      <c r="E88" s="19">
        <v>47324</v>
      </c>
      <c r="G88" s="2">
        <v>27768907</v>
      </c>
      <c r="H88" s="2"/>
      <c r="I88" s="2">
        <v>12652964</v>
      </c>
      <c r="J88" s="2"/>
      <c r="K88" s="2">
        <v>0</v>
      </c>
      <c r="L88" s="2"/>
      <c r="M88" s="2">
        <f t="shared" si="8"/>
        <v>40421871</v>
      </c>
      <c r="N88" s="2"/>
      <c r="O88" s="2">
        <v>0</v>
      </c>
      <c r="P88" s="6"/>
      <c r="Q88" s="2">
        <v>3919788</v>
      </c>
      <c r="R88" s="2"/>
      <c r="S88" s="2">
        <v>0</v>
      </c>
      <c r="T88" s="2"/>
      <c r="U88" s="2">
        <v>0</v>
      </c>
      <c r="V88" s="2"/>
      <c r="W88" s="2">
        <v>0</v>
      </c>
      <c r="X88" s="2"/>
      <c r="Y88" s="2">
        <v>412421</v>
      </c>
      <c r="AA88" s="2"/>
      <c r="AB88" s="2"/>
      <c r="AC88" s="2">
        <f t="shared" si="7"/>
        <v>4332209</v>
      </c>
      <c r="AD88" s="2"/>
      <c r="AE88" s="2">
        <v>0</v>
      </c>
      <c r="AF88" s="19"/>
      <c r="AG88" s="2">
        <f t="shared" si="6"/>
        <v>44754080</v>
      </c>
    </row>
    <row r="89" spans="1:34">
      <c r="A89" s="19" t="s">
        <v>196</v>
      </c>
      <c r="B89" s="19"/>
      <c r="C89" s="19" t="s">
        <v>197</v>
      </c>
      <c r="E89" s="19">
        <v>47407</v>
      </c>
      <c r="G89" s="2">
        <v>4316089</v>
      </c>
      <c r="H89" s="2"/>
      <c r="I89" s="2">
        <v>130229</v>
      </c>
      <c r="J89" s="2"/>
      <c r="K89" s="2">
        <v>0</v>
      </c>
      <c r="L89" s="2"/>
      <c r="M89" s="2">
        <f t="shared" si="8"/>
        <v>4446318</v>
      </c>
      <c r="N89" s="2"/>
      <c r="O89" s="2">
        <v>0</v>
      </c>
      <c r="P89" s="6"/>
      <c r="Q89" s="2">
        <v>860021</v>
      </c>
      <c r="R89" s="2"/>
      <c r="S89" s="2">
        <v>8614</v>
      </c>
      <c r="T89" s="2"/>
      <c r="U89" s="2">
        <v>0</v>
      </c>
      <c r="V89" s="2"/>
      <c r="W89" s="2">
        <v>0</v>
      </c>
      <c r="X89" s="2"/>
      <c r="Y89" s="2">
        <v>28947</v>
      </c>
      <c r="AA89" s="2"/>
      <c r="AB89" s="2"/>
      <c r="AC89" s="2">
        <f t="shared" si="7"/>
        <v>897582</v>
      </c>
      <c r="AD89" s="2"/>
      <c r="AE89" s="2">
        <v>0</v>
      </c>
      <c r="AF89" s="19"/>
      <c r="AG89" s="2">
        <f t="shared" si="6"/>
        <v>5343900</v>
      </c>
    </row>
    <row r="90" spans="1:34">
      <c r="A90" s="19" t="s">
        <v>198</v>
      </c>
      <c r="B90" s="19"/>
      <c r="C90" s="19" t="s">
        <v>23</v>
      </c>
      <c r="E90" s="19">
        <v>47480</v>
      </c>
      <c r="G90" s="2">
        <v>1249821</v>
      </c>
      <c r="H90" s="2"/>
      <c r="I90" s="2">
        <v>764904</v>
      </c>
      <c r="J90" s="2"/>
      <c r="K90" s="2">
        <v>0</v>
      </c>
      <c r="L90" s="2"/>
      <c r="M90" s="2">
        <f t="shared" si="8"/>
        <v>2014725</v>
      </c>
      <c r="N90" s="2"/>
      <c r="O90" s="2">
        <v>0</v>
      </c>
      <c r="P90" s="6"/>
      <c r="Q90" s="2">
        <v>602329</v>
      </c>
      <c r="R90" s="2"/>
      <c r="S90" s="2">
        <v>8860</v>
      </c>
      <c r="T90" s="2"/>
      <c r="U90" s="2">
        <v>0</v>
      </c>
      <c r="V90" s="2"/>
      <c r="W90" s="2">
        <v>0</v>
      </c>
      <c r="X90" s="2"/>
      <c r="Y90" s="2">
        <v>122143</v>
      </c>
      <c r="AA90" s="2"/>
      <c r="AB90" s="2"/>
      <c r="AC90" s="2">
        <f t="shared" si="7"/>
        <v>733332</v>
      </c>
      <c r="AD90" s="2"/>
      <c r="AE90" s="2">
        <v>0</v>
      </c>
      <c r="AF90" s="19"/>
      <c r="AG90" s="2">
        <f t="shared" si="6"/>
        <v>2748057</v>
      </c>
    </row>
    <row r="91" spans="1:34">
      <c r="A91" s="19" t="s">
        <v>199</v>
      </c>
      <c r="B91" s="19"/>
      <c r="C91" s="19" t="s">
        <v>200</v>
      </c>
      <c r="E91" s="19">
        <v>47779</v>
      </c>
      <c r="G91" s="2">
        <v>5464386</v>
      </c>
      <c r="H91" s="2"/>
      <c r="I91" s="2">
        <v>847068</v>
      </c>
      <c r="J91" s="2"/>
      <c r="K91" s="2">
        <v>0</v>
      </c>
      <c r="L91" s="2"/>
      <c r="M91" s="2">
        <f t="shared" si="8"/>
        <v>6311454</v>
      </c>
      <c r="N91" s="2"/>
      <c r="O91" s="2">
        <v>0</v>
      </c>
      <c r="P91" s="6"/>
      <c r="Q91" s="2">
        <v>876327</v>
      </c>
      <c r="R91" s="2"/>
      <c r="S91" s="2">
        <v>50113</v>
      </c>
      <c r="T91" s="2"/>
      <c r="U91" s="2">
        <v>0</v>
      </c>
      <c r="V91" s="2"/>
      <c r="W91" s="2">
        <v>0</v>
      </c>
      <c r="X91" s="2"/>
      <c r="Y91" s="2">
        <v>0</v>
      </c>
      <c r="AA91" s="2"/>
      <c r="AB91" s="2"/>
      <c r="AC91" s="2">
        <f t="shared" si="7"/>
        <v>926440</v>
      </c>
      <c r="AD91" s="2"/>
      <c r="AE91" s="2">
        <v>0</v>
      </c>
      <c r="AF91" s="19"/>
      <c r="AG91" s="2">
        <f t="shared" si="6"/>
        <v>7237894</v>
      </c>
    </row>
    <row r="92" spans="1:34">
      <c r="A92" s="19" t="s">
        <v>201</v>
      </c>
      <c r="B92" s="19"/>
      <c r="C92" s="19" t="s">
        <v>202</v>
      </c>
      <c r="E92" s="19">
        <v>47811</v>
      </c>
      <c r="G92" s="2">
        <v>4429846</v>
      </c>
      <c r="H92" s="2"/>
      <c r="I92" s="2">
        <v>1071629</v>
      </c>
      <c r="J92" s="2"/>
      <c r="K92" s="2">
        <v>0</v>
      </c>
      <c r="L92" s="2"/>
      <c r="M92" s="2">
        <f t="shared" si="8"/>
        <v>5501475</v>
      </c>
      <c r="N92" s="2"/>
      <c r="O92" s="2">
        <v>0</v>
      </c>
      <c r="P92" s="6"/>
      <c r="Q92" s="2">
        <v>291239</v>
      </c>
      <c r="R92" s="2"/>
      <c r="S92" s="2">
        <v>18038</v>
      </c>
      <c r="T92" s="2"/>
      <c r="U92" s="2">
        <v>0</v>
      </c>
      <c r="V92" s="2"/>
      <c r="W92" s="2">
        <v>0</v>
      </c>
      <c r="X92" s="2"/>
      <c r="Y92" s="2">
        <v>8019</v>
      </c>
      <c r="AA92" s="2"/>
      <c r="AB92" s="2"/>
      <c r="AC92" s="2">
        <f t="shared" si="7"/>
        <v>317296</v>
      </c>
      <c r="AD92" s="2"/>
      <c r="AE92" s="2">
        <v>0</v>
      </c>
      <c r="AF92" s="19"/>
      <c r="AG92" s="2">
        <f t="shared" si="6"/>
        <v>5818771</v>
      </c>
    </row>
    <row r="93" spans="1:34">
      <c r="A93" s="19" t="s">
        <v>203</v>
      </c>
      <c r="B93" s="19"/>
      <c r="C93" s="19" t="s">
        <v>158</v>
      </c>
      <c r="E93" s="19">
        <v>47860</v>
      </c>
      <c r="G93" s="2">
        <v>8447186</v>
      </c>
      <c r="H93" s="2"/>
      <c r="I93" s="2">
        <v>1884555</v>
      </c>
      <c r="J93" s="2"/>
      <c r="K93" s="2">
        <v>0</v>
      </c>
      <c r="L93" s="2"/>
      <c r="M93" s="2">
        <f t="shared" si="8"/>
        <v>10331741</v>
      </c>
      <c r="N93" s="2"/>
      <c r="O93" s="2">
        <v>0</v>
      </c>
      <c r="P93" s="6"/>
      <c r="Q93" s="2">
        <v>2146061</v>
      </c>
      <c r="R93" s="2"/>
      <c r="S93" s="2">
        <v>0</v>
      </c>
      <c r="T93" s="2"/>
      <c r="U93" s="2">
        <v>0</v>
      </c>
      <c r="V93" s="2"/>
      <c r="W93" s="2">
        <v>0</v>
      </c>
      <c r="X93" s="2"/>
      <c r="Y93" s="2">
        <v>70616</v>
      </c>
      <c r="AA93" s="2"/>
      <c r="AB93" s="2"/>
      <c r="AC93" s="2">
        <f t="shared" si="7"/>
        <v>2216677</v>
      </c>
      <c r="AD93" s="2"/>
      <c r="AE93" s="2">
        <v>0</v>
      </c>
      <c r="AF93" s="19"/>
      <c r="AG93" s="2">
        <f t="shared" si="6"/>
        <v>12548418</v>
      </c>
      <c r="AH93" s="60"/>
    </row>
    <row r="94" spans="1:34">
      <c r="A94" s="19" t="s">
        <v>204</v>
      </c>
      <c r="B94" s="19"/>
      <c r="C94" s="19" t="s">
        <v>205</v>
      </c>
      <c r="E94" s="19">
        <v>47910</v>
      </c>
      <c r="G94" s="2">
        <v>1219794</v>
      </c>
      <c r="H94" s="2"/>
      <c r="I94" s="2">
        <v>160970</v>
      </c>
      <c r="J94" s="2"/>
      <c r="K94" s="2">
        <v>0</v>
      </c>
      <c r="L94" s="2"/>
      <c r="M94" s="2">
        <f t="shared" si="8"/>
        <v>1380764</v>
      </c>
      <c r="N94" s="2"/>
      <c r="O94" s="2">
        <v>0</v>
      </c>
      <c r="P94" s="6"/>
      <c r="Q94" s="2">
        <v>329517</v>
      </c>
      <c r="R94" s="2"/>
      <c r="S94" s="2">
        <v>1190</v>
      </c>
      <c r="T94" s="2"/>
      <c r="U94" s="2">
        <v>0</v>
      </c>
      <c r="V94" s="2"/>
      <c r="W94" s="2">
        <v>0</v>
      </c>
      <c r="X94" s="2"/>
      <c r="Y94" s="2">
        <v>22355</v>
      </c>
      <c r="AA94" s="2"/>
      <c r="AB94" s="2"/>
      <c r="AC94" s="2">
        <f t="shared" si="7"/>
        <v>353062</v>
      </c>
      <c r="AD94" s="2"/>
      <c r="AE94" s="2">
        <v>0</v>
      </c>
      <c r="AF94" s="19"/>
      <c r="AG94" s="2">
        <f t="shared" si="6"/>
        <v>1733826</v>
      </c>
    </row>
    <row r="95" spans="1:34">
      <c r="A95" s="13" t="s">
        <v>206</v>
      </c>
      <c r="B95" s="13"/>
      <c r="C95" s="13" t="s">
        <v>207</v>
      </c>
      <c r="E95" s="19"/>
      <c r="G95" s="2">
        <v>7934913</v>
      </c>
      <c r="H95" s="2"/>
      <c r="I95" s="2">
        <v>2221371</v>
      </c>
      <c r="J95" s="2"/>
      <c r="K95" s="2">
        <v>0</v>
      </c>
      <c r="L95" s="2"/>
      <c r="M95" s="2">
        <f>SUM(G95:L95)</f>
        <v>10156284</v>
      </c>
      <c r="N95" s="2"/>
      <c r="O95" s="2">
        <v>0</v>
      </c>
      <c r="P95" s="6"/>
      <c r="Q95" s="2">
        <v>539498</v>
      </c>
      <c r="R95" s="2"/>
      <c r="S95" s="2">
        <v>12367</v>
      </c>
      <c r="T95" s="2"/>
      <c r="U95" s="2">
        <v>0</v>
      </c>
      <c r="V95" s="2"/>
      <c r="W95" s="2">
        <v>0</v>
      </c>
      <c r="X95" s="2"/>
      <c r="Y95" s="2">
        <v>46184</v>
      </c>
      <c r="AA95" s="2"/>
      <c r="AB95" s="2"/>
      <c r="AC95" s="2">
        <f t="shared" si="7"/>
        <v>598049</v>
      </c>
      <c r="AD95" s="2"/>
      <c r="AE95" s="2">
        <v>0</v>
      </c>
      <c r="AF95" s="19"/>
      <c r="AG95" s="2">
        <f t="shared" si="6"/>
        <v>10754333</v>
      </c>
    </row>
    <row r="96" spans="1:34">
      <c r="A96" s="19" t="s">
        <v>208</v>
      </c>
      <c r="B96" s="19"/>
      <c r="C96" s="19" t="s">
        <v>209</v>
      </c>
      <c r="E96" s="19">
        <v>48058</v>
      </c>
      <c r="G96" s="2">
        <v>2412890</v>
      </c>
      <c r="H96" s="2"/>
      <c r="I96" s="2">
        <v>50140</v>
      </c>
      <c r="J96" s="2"/>
      <c r="K96" s="2">
        <v>0</v>
      </c>
      <c r="L96" s="2"/>
      <c r="M96" s="2">
        <f t="shared" si="8"/>
        <v>2463030</v>
      </c>
      <c r="N96" s="2"/>
      <c r="O96" s="2">
        <v>0</v>
      </c>
      <c r="P96" s="6"/>
      <c r="Q96" s="2">
        <v>618381</v>
      </c>
      <c r="R96" s="2"/>
      <c r="S96" s="2">
        <v>2945</v>
      </c>
      <c r="T96" s="2"/>
      <c r="U96" s="2">
        <v>0</v>
      </c>
      <c r="V96" s="2"/>
      <c r="W96" s="2">
        <v>1158</v>
      </c>
      <c r="X96" s="2"/>
      <c r="Y96" s="2">
        <v>182782</v>
      </c>
      <c r="AA96" s="2"/>
      <c r="AB96" s="2"/>
      <c r="AC96" s="2">
        <f t="shared" si="7"/>
        <v>805266</v>
      </c>
      <c r="AD96" s="2"/>
      <c r="AE96" s="2">
        <v>0</v>
      </c>
      <c r="AF96" s="19"/>
      <c r="AG96" s="2">
        <f t="shared" si="6"/>
        <v>3268296</v>
      </c>
    </row>
    <row r="97" spans="1:34">
      <c r="A97" s="19" t="s">
        <v>210</v>
      </c>
      <c r="B97" s="19"/>
      <c r="C97" s="19" t="s">
        <v>154</v>
      </c>
      <c r="E97" s="19">
        <v>48108</v>
      </c>
      <c r="G97" s="2">
        <v>5329041</v>
      </c>
      <c r="H97" s="2"/>
      <c r="I97" s="2">
        <v>2494686</v>
      </c>
      <c r="J97" s="2"/>
      <c r="K97" s="2">
        <v>0</v>
      </c>
      <c r="L97" s="2"/>
      <c r="M97" s="2">
        <f t="shared" si="8"/>
        <v>7823727</v>
      </c>
      <c r="N97" s="2"/>
      <c r="O97" s="2">
        <v>0</v>
      </c>
      <c r="P97" s="6"/>
      <c r="Q97" s="2">
        <v>2361780</v>
      </c>
      <c r="R97" s="2"/>
      <c r="S97" s="2">
        <v>153351</v>
      </c>
      <c r="T97" s="2"/>
      <c r="U97" s="2">
        <v>0</v>
      </c>
      <c r="V97" s="2"/>
      <c r="W97" s="2">
        <v>0</v>
      </c>
      <c r="X97" s="2"/>
      <c r="Y97" s="2">
        <v>151257</v>
      </c>
      <c r="AA97" s="2"/>
      <c r="AB97" s="2"/>
      <c r="AC97" s="2">
        <f t="shared" si="7"/>
        <v>2666388</v>
      </c>
      <c r="AD97" s="2"/>
      <c r="AE97" s="2">
        <v>0</v>
      </c>
      <c r="AF97" s="19"/>
      <c r="AG97" s="2">
        <f t="shared" si="6"/>
        <v>10490115</v>
      </c>
    </row>
    <row r="98" spans="1:34">
      <c r="A98" s="19" t="s">
        <v>211</v>
      </c>
      <c r="B98" s="19"/>
      <c r="C98" s="19" t="s">
        <v>212</v>
      </c>
      <c r="E98" s="19">
        <v>48199</v>
      </c>
      <c r="G98" s="2">
        <v>17527231</v>
      </c>
      <c r="H98" s="2"/>
      <c r="I98" s="2">
        <v>6597563</v>
      </c>
      <c r="J98" s="2"/>
      <c r="K98" s="2">
        <v>0</v>
      </c>
      <c r="L98" s="2"/>
      <c r="M98" s="2">
        <f t="shared" si="8"/>
        <v>24124794</v>
      </c>
      <c r="N98" s="2"/>
      <c r="O98" s="2">
        <v>0</v>
      </c>
      <c r="P98" s="6"/>
      <c r="Q98" s="2">
        <v>2846022</v>
      </c>
      <c r="R98" s="2"/>
      <c r="S98" s="2">
        <v>98418</v>
      </c>
      <c r="T98" s="2"/>
      <c r="U98" s="2">
        <v>0</v>
      </c>
      <c r="V98" s="2"/>
      <c r="W98" s="2">
        <v>0</v>
      </c>
      <c r="X98" s="2"/>
      <c r="Y98" s="2">
        <v>483753</v>
      </c>
      <c r="AA98" s="2"/>
      <c r="AB98" s="2"/>
      <c r="AC98" s="2">
        <f t="shared" si="7"/>
        <v>3428193</v>
      </c>
      <c r="AD98" s="2"/>
      <c r="AE98" s="2">
        <v>0</v>
      </c>
      <c r="AF98" s="19"/>
      <c r="AG98" s="2">
        <f t="shared" si="6"/>
        <v>27552987</v>
      </c>
    </row>
    <row r="99" spans="1:34">
      <c r="A99" s="19" t="s">
        <v>166</v>
      </c>
      <c r="B99" s="19"/>
      <c r="C99" s="19" t="s">
        <v>167</v>
      </c>
      <c r="E99" s="19">
        <v>137364</v>
      </c>
      <c r="G99" s="2">
        <v>7994494</v>
      </c>
      <c r="H99" s="2"/>
      <c r="I99" s="2">
        <v>696387</v>
      </c>
      <c r="J99" s="2"/>
      <c r="K99" s="2">
        <v>0</v>
      </c>
      <c r="L99" s="2"/>
      <c r="M99" s="2">
        <f t="shared" si="8"/>
        <v>8690881</v>
      </c>
      <c r="N99" s="2"/>
      <c r="O99" s="2">
        <v>0</v>
      </c>
      <c r="P99" s="6"/>
      <c r="Q99" s="2">
        <v>1397766</v>
      </c>
      <c r="R99" s="2"/>
      <c r="S99" s="2">
        <v>44270</v>
      </c>
      <c r="T99" s="2"/>
      <c r="U99" s="2">
        <v>0</v>
      </c>
      <c r="V99" s="2"/>
      <c r="W99" s="2">
        <v>0</v>
      </c>
      <c r="X99" s="2"/>
      <c r="Y99" s="2">
        <v>185340</v>
      </c>
      <c r="AA99" s="2"/>
      <c r="AB99" s="2"/>
      <c r="AC99" s="2">
        <f t="shared" si="7"/>
        <v>1627376</v>
      </c>
      <c r="AD99" s="2"/>
      <c r="AE99" s="2">
        <v>0</v>
      </c>
      <c r="AF99" s="19"/>
      <c r="AG99" s="2">
        <f t="shared" si="6"/>
        <v>10318257</v>
      </c>
    </row>
    <row r="100" spans="1:34">
      <c r="A100" s="19" t="s">
        <v>213</v>
      </c>
      <c r="B100" s="19"/>
      <c r="C100" s="19" t="s">
        <v>214</v>
      </c>
      <c r="E100" s="19">
        <v>48280</v>
      </c>
      <c r="G100" s="2">
        <v>13943034</v>
      </c>
      <c r="H100" s="2"/>
      <c r="I100" s="2">
        <v>10612429</v>
      </c>
      <c r="J100" s="2"/>
      <c r="K100" s="2">
        <v>1000</v>
      </c>
      <c r="L100" s="2"/>
      <c r="M100" s="2">
        <f t="shared" si="8"/>
        <v>24556463</v>
      </c>
      <c r="N100" s="2"/>
      <c r="O100" s="2">
        <v>0</v>
      </c>
      <c r="P100" s="6"/>
      <c r="Q100" s="2">
        <v>1900422</v>
      </c>
      <c r="R100" s="2"/>
      <c r="S100" s="2">
        <v>205397</v>
      </c>
      <c r="T100" s="2"/>
      <c r="U100" s="2">
        <v>0</v>
      </c>
      <c r="V100" s="2"/>
      <c r="W100" s="2">
        <v>0</v>
      </c>
      <c r="X100" s="2"/>
      <c r="Y100" s="2">
        <v>62521</v>
      </c>
      <c r="AA100" s="2"/>
      <c r="AB100" s="2"/>
      <c r="AC100" s="2">
        <f t="shared" si="7"/>
        <v>2168340</v>
      </c>
      <c r="AD100" s="2"/>
      <c r="AE100" s="2">
        <v>0</v>
      </c>
      <c r="AF100" s="19"/>
      <c r="AG100" s="2">
        <f t="shared" ref="AG100:AG129" si="9">+AC100+M100</f>
        <v>26724803</v>
      </c>
      <c r="AH100" s="97"/>
    </row>
    <row r="101" spans="1:34">
      <c r="A101" s="19" t="s">
        <v>215</v>
      </c>
      <c r="B101" s="19"/>
      <c r="C101" s="19" t="s">
        <v>216</v>
      </c>
      <c r="E101" s="19">
        <v>48454</v>
      </c>
      <c r="G101" s="2">
        <v>3624169</v>
      </c>
      <c r="H101" s="2"/>
      <c r="I101" s="2">
        <v>112066</v>
      </c>
      <c r="J101" s="2"/>
      <c r="K101" s="2">
        <v>0</v>
      </c>
      <c r="L101" s="2"/>
      <c r="M101" s="2">
        <f t="shared" si="8"/>
        <v>3736235</v>
      </c>
      <c r="N101" s="2"/>
      <c r="O101" s="2">
        <v>0</v>
      </c>
      <c r="P101" s="6"/>
      <c r="Q101" s="2">
        <v>1470378</v>
      </c>
      <c r="R101" s="2"/>
      <c r="S101" s="2">
        <v>0</v>
      </c>
      <c r="T101" s="2"/>
      <c r="U101" s="2">
        <v>0</v>
      </c>
      <c r="V101" s="2"/>
      <c r="W101" s="2">
        <v>0</v>
      </c>
      <c r="X101" s="2"/>
      <c r="Y101" s="2">
        <v>47058</v>
      </c>
      <c r="AA101" s="2"/>
      <c r="AB101" s="2"/>
      <c r="AC101" s="2">
        <f t="shared" si="7"/>
        <v>1517436</v>
      </c>
      <c r="AD101" s="2"/>
      <c r="AE101" s="2">
        <v>0</v>
      </c>
      <c r="AF101" s="19"/>
      <c r="AG101" s="2">
        <f t="shared" si="9"/>
        <v>5253671</v>
      </c>
    </row>
    <row r="102" spans="1:34" hidden="1">
      <c r="A102" s="13" t="s">
        <v>419</v>
      </c>
      <c r="B102" s="19"/>
      <c r="C102" s="19" t="s">
        <v>218</v>
      </c>
      <c r="E102" s="19">
        <v>48546</v>
      </c>
      <c r="G102" s="2">
        <v>4003912</v>
      </c>
      <c r="H102" s="2"/>
      <c r="I102" s="2">
        <v>1015222</v>
      </c>
      <c r="J102" s="2"/>
      <c r="K102" s="2"/>
      <c r="L102" s="2"/>
      <c r="M102" s="2">
        <f t="shared" si="8"/>
        <v>5019134</v>
      </c>
      <c r="N102" s="2"/>
      <c r="O102" s="2"/>
      <c r="P102" s="6"/>
      <c r="Q102" s="2">
        <v>1355170</v>
      </c>
      <c r="R102" s="2"/>
      <c r="S102" s="2">
        <v>9505</v>
      </c>
      <c r="T102" s="2"/>
      <c r="U102" s="2"/>
      <c r="V102" s="2"/>
      <c r="W102" s="2"/>
      <c r="X102" s="2"/>
      <c r="Y102" s="2">
        <v>18000</v>
      </c>
      <c r="AA102" s="2"/>
      <c r="AB102" s="2"/>
      <c r="AC102" s="2">
        <f t="shared" si="7"/>
        <v>1382675</v>
      </c>
      <c r="AD102" s="2"/>
      <c r="AE102" s="2">
        <v>0</v>
      </c>
      <c r="AF102" s="19"/>
      <c r="AG102" s="2">
        <f t="shared" si="9"/>
        <v>6401809</v>
      </c>
      <c r="AH102" s="63" t="s">
        <v>373</v>
      </c>
    </row>
    <row r="103" spans="1:34">
      <c r="A103" s="19" t="s">
        <v>219</v>
      </c>
      <c r="B103" s="19"/>
      <c r="C103" s="19" t="s">
        <v>220</v>
      </c>
      <c r="E103" s="19">
        <v>48603</v>
      </c>
      <c r="G103" s="2">
        <v>9719742</v>
      </c>
      <c r="H103" s="2"/>
      <c r="I103" s="2">
        <v>171305</v>
      </c>
      <c r="J103" s="2"/>
      <c r="K103" s="2">
        <v>0</v>
      </c>
      <c r="L103" s="2"/>
      <c r="M103" s="2">
        <f t="shared" si="8"/>
        <v>9891047</v>
      </c>
      <c r="N103" s="2"/>
      <c r="O103" s="2">
        <v>0</v>
      </c>
      <c r="P103" s="6"/>
      <c r="Q103" s="2">
        <v>1176550</v>
      </c>
      <c r="R103" s="2"/>
      <c r="S103" s="2">
        <v>28853</v>
      </c>
      <c r="T103" s="2"/>
      <c r="U103" s="2">
        <v>0</v>
      </c>
      <c r="V103" s="2"/>
      <c r="W103" s="2">
        <v>0</v>
      </c>
      <c r="X103" s="2"/>
      <c r="Y103" s="2">
        <v>123387</v>
      </c>
      <c r="AA103" s="2"/>
      <c r="AB103" s="2"/>
      <c r="AC103" s="2">
        <f t="shared" si="7"/>
        <v>1328790</v>
      </c>
      <c r="AD103" s="2"/>
      <c r="AE103" s="2">
        <v>0</v>
      </c>
      <c r="AF103" s="19"/>
      <c r="AG103" s="2">
        <f t="shared" si="9"/>
        <v>11219837</v>
      </c>
    </row>
    <row r="104" spans="1:34" hidden="1">
      <c r="A104" s="2" t="s">
        <v>418</v>
      </c>
      <c r="B104" s="2"/>
      <c r="C104" s="2" t="s">
        <v>236</v>
      </c>
      <c r="E104" s="19"/>
      <c r="G104" s="2">
        <v>11081267</v>
      </c>
      <c r="H104" s="2"/>
      <c r="I104" s="2">
        <v>2415823</v>
      </c>
      <c r="J104" s="2"/>
      <c r="K104" s="2"/>
      <c r="L104" s="2"/>
      <c r="M104" s="2">
        <f>SUM(G104:L104)</f>
        <v>13497090</v>
      </c>
      <c r="N104" s="2"/>
      <c r="O104" s="2"/>
      <c r="P104" s="6"/>
      <c r="Q104" s="2">
        <v>4208197</v>
      </c>
      <c r="R104" s="2"/>
      <c r="S104" s="2">
        <v>148145</v>
      </c>
      <c r="T104" s="2"/>
      <c r="U104" s="2"/>
      <c r="V104" s="2"/>
      <c r="W104" s="2"/>
      <c r="X104" s="2"/>
      <c r="Y104" s="2"/>
      <c r="AA104" s="2"/>
      <c r="AB104" s="2"/>
      <c r="AC104" s="2">
        <f t="shared" si="7"/>
        <v>4356342</v>
      </c>
      <c r="AD104" s="2"/>
      <c r="AE104" s="2">
        <v>0</v>
      </c>
      <c r="AF104" s="19"/>
      <c r="AG104" s="2">
        <f t="shared" si="9"/>
        <v>17853432</v>
      </c>
      <c r="AH104" s="63" t="s">
        <v>373</v>
      </c>
    </row>
    <row r="105" spans="1:34">
      <c r="A105" s="19" t="s">
        <v>221</v>
      </c>
      <c r="B105" s="19"/>
      <c r="C105" s="19" t="s">
        <v>222</v>
      </c>
      <c r="E105" s="19">
        <v>48660</v>
      </c>
      <c r="G105" s="2">
        <v>24612257</v>
      </c>
      <c r="H105" s="2"/>
      <c r="I105" s="2">
        <v>5213555</v>
      </c>
      <c r="J105" s="2"/>
      <c r="K105" s="2">
        <v>896</v>
      </c>
      <c r="L105" s="2"/>
      <c r="M105" s="2">
        <f t="shared" si="8"/>
        <v>29826708</v>
      </c>
      <c r="N105" s="2"/>
      <c r="O105" s="2">
        <v>0</v>
      </c>
      <c r="P105" s="6"/>
      <c r="Q105" s="2">
        <v>1966469</v>
      </c>
      <c r="R105" s="2"/>
      <c r="S105" s="2">
        <v>273472</v>
      </c>
      <c r="T105" s="2"/>
      <c r="U105" s="2">
        <v>0</v>
      </c>
      <c r="V105" s="2"/>
      <c r="W105" s="2">
        <v>15600</v>
      </c>
      <c r="X105" s="2"/>
      <c r="Y105" s="2">
        <v>54015</v>
      </c>
      <c r="AA105" s="2"/>
      <c r="AB105" s="2"/>
      <c r="AC105" s="2">
        <f t="shared" si="7"/>
        <v>2309556</v>
      </c>
      <c r="AD105" s="2"/>
      <c r="AE105" s="2">
        <v>0</v>
      </c>
      <c r="AF105" s="19"/>
      <c r="AG105" s="2">
        <f t="shared" si="9"/>
        <v>32136264</v>
      </c>
    </row>
    <row r="106" spans="1:34">
      <c r="A106" s="19" t="s">
        <v>223</v>
      </c>
      <c r="B106" s="19"/>
      <c r="C106" s="19" t="s">
        <v>224</v>
      </c>
      <c r="E106" s="19">
        <v>125252</v>
      </c>
      <c r="G106" s="2">
        <v>7537953</v>
      </c>
      <c r="H106" s="2"/>
      <c r="I106" s="2">
        <v>3658463</v>
      </c>
      <c r="J106" s="2"/>
      <c r="K106" s="2">
        <v>0</v>
      </c>
      <c r="L106" s="2"/>
      <c r="M106" s="2">
        <f t="shared" si="8"/>
        <v>11196416</v>
      </c>
      <c r="N106" s="2"/>
      <c r="O106" s="2">
        <v>0</v>
      </c>
      <c r="P106" s="6"/>
      <c r="Q106" s="2">
        <v>1171032</v>
      </c>
      <c r="R106" s="2"/>
      <c r="S106" s="2">
        <v>0</v>
      </c>
      <c r="T106" s="2"/>
      <c r="U106" s="2">
        <v>0</v>
      </c>
      <c r="V106" s="2"/>
      <c r="W106" s="2">
        <v>0</v>
      </c>
      <c r="X106" s="2"/>
      <c r="Y106" s="2">
        <v>74733</v>
      </c>
      <c r="AA106" s="2"/>
      <c r="AB106" s="2"/>
      <c r="AC106" s="2">
        <f t="shared" si="7"/>
        <v>1245765</v>
      </c>
      <c r="AD106" s="2"/>
      <c r="AE106" s="2">
        <v>0</v>
      </c>
      <c r="AF106" s="19"/>
      <c r="AG106" s="2">
        <f t="shared" si="9"/>
        <v>12442181</v>
      </c>
    </row>
    <row r="107" spans="1:34">
      <c r="A107" s="19" t="s">
        <v>374</v>
      </c>
      <c r="B107" s="19"/>
      <c r="C107" s="19" t="s">
        <v>244</v>
      </c>
      <c r="E107" s="19">
        <v>123257</v>
      </c>
      <c r="G107" s="2">
        <v>10734808</v>
      </c>
      <c r="H107" s="2"/>
      <c r="I107" s="2">
        <v>2799281</v>
      </c>
      <c r="J107" s="2"/>
      <c r="K107" s="2">
        <v>0</v>
      </c>
      <c r="L107" s="2"/>
      <c r="M107" s="2">
        <f t="shared" ref="M107" si="10">SUM(G107:L107)</f>
        <v>13534089</v>
      </c>
      <c r="N107" s="2"/>
      <c r="O107" s="2">
        <v>0</v>
      </c>
      <c r="P107" s="6"/>
      <c r="Q107" s="2">
        <v>3201902</v>
      </c>
      <c r="R107" s="2"/>
      <c r="S107" s="2">
        <v>13905</v>
      </c>
      <c r="T107" s="2"/>
      <c r="U107" s="2">
        <v>0</v>
      </c>
      <c r="V107" s="2"/>
      <c r="W107" s="2">
        <v>0</v>
      </c>
      <c r="X107" s="2"/>
      <c r="Y107" s="2">
        <v>283417</v>
      </c>
      <c r="AA107" s="2">
        <v>0</v>
      </c>
      <c r="AB107" s="2"/>
      <c r="AC107" s="2">
        <f t="shared" ref="AC107" si="11">SUM(O107:AA107)</f>
        <v>3499224</v>
      </c>
      <c r="AD107" s="2"/>
      <c r="AE107" s="2">
        <v>0</v>
      </c>
      <c r="AF107" s="19"/>
      <c r="AG107" s="2">
        <f t="shared" si="9"/>
        <v>17033313</v>
      </c>
    </row>
    <row r="108" spans="1:34" hidden="1">
      <c r="A108" s="19" t="s">
        <v>413</v>
      </c>
      <c r="B108" s="19"/>
      <c r="C108" s="19" t="s">
        <v>183</v>
      </c>
      <c r="E108" s="19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19"/>
      <c r="AG108" s="2"/>
    </row>
    <row r="109" spans="1:34" hidden="1">
      <c r="A109" s="19" t="s">
        <v>187</v>
      </c>
      <c r="B109" s="19"/>
      <c r="C109" s="2" t="s">
        <v>275</v>
      </c>
      <c r="E109" s="19">
        <v>124297</v>
      </c>
      <c r="G109" s="2"/>
      <c r="H109" s="2"/>
      <c r="I109" s="2"/>
      <c r="J109" s="2"/>
      <c r="K109" s="2"/>
      <c r="L109" s="2"/>
      <c r="M109" s="2">
        <f t="shared" si="8"/>
        <v>0</v>
      </c>
      <c r="N109" s="2"/>
      <c r="O109" s="2"/>
      <c r="P109" s="6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>
        <f t="shared" si="7"/>
        <v>0</v>
      </c>
      <c r="AD109" s="2"/>
      <c r="AE109" s="2">
        <v>0</v>
      </c>
      <c r="AF109" s="19"/>
      <c r="AG109" s="2">
        <f t="shared" si="9"/>
        <v>0</v>
      </c>
    </row>
    <row r="110" spans="1:34" hidden="1">
      <c r="A110" s="19" t="s">
        <v>354</v>
      </c>
      <c r="B110" s="19"/>
      <c r="C110" s="2" t="s">
        <v>363</v>
      </c>
      <c r="E110" s="19">
        <v>123521</v>
      </c>
      <c r="G110" s="2"/>
      <c r="H110" s="2"/>
      <c r="I110" s="2"/>
      <c r="J110" s="2"/>
      <c r="K110" s="2"/>
      <c r="L110" s="2"/>
      <c r="M110" s="2">
        <f t="shared" si="8"/>
        <v>0</v>
      </c>
      <c r="N110" s="2"/>
      <c r="O110" s="2"/>
      <c r="P110" s="6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>
        <f t="shared" si="7"/>
        <v>0</v>
      </c>
      <c r="AD110" s="2"/>
      <c r="AE110" s="2">
        <v>0</v>
      </c>
      <c r="AF110" s="19"/>
      <c r="AG110" s="2">
        <f t="shared" si="9"/>
        <v>0</v>
      </c>
      <c r="AH110" s="97"/>
    </row>
    <row r="111" spans="1:34">
      <c r="A111" s="19" t="s">
        <v>225</v>
      </c>
      <c r="B111" s="19"/>
      <c r="C111" s="19" t="s">
        <v>226</v>
      </c>
      <c r="E111" s="19">
        <v>125674</v>
      </c>
      <c r="G111" s="2">
        <v>4192185</v>
      </c>
      <c r="H111" s="2"/>
      <c r="I111" s="2">
        <v>1653428</v>
      </c>
      <c r="J111" s="2"/>
      <c r="K111" s="2">
        <v>0</v>
      </c>
      <c r="L111" s="2"/>
      <c r="M111" s="2">
        <f t="shared" si="8"/>
        <v>5845613</v>
      </c>
      <c r="N111" s="2"/>
      <c r="O111" s="2">
        <v>0</v>
      </c>
      <c r="P111" s="6"/>
      <c r="Q111" s="2">
        <v>337981</v>
      </c>
      <c r="R111" s="2"/>
      <c r="S111" s="2">
        <v>9010</v>
      </c>
      <c r="T111" s="2"/>
      <c r="U111" s="2">
        <v>0</v>
      </c>
      <c r="V111" s="2"/>
      <c r="W111" s="2">
        <v>0</v>
      </c>
      <c r="X111" s="2"/>
      <c r="Y111" s="2">
        <v>66393</v>
      </c>
      <c r="AA111" s="2"/>
      <c r="AB111" s="2"/>
      <c r="AC111" s="2">
        <f t="shared" si="7"/>
        <v>413384</v>
      </c>
      <c r="AD111" s="2"/>
      <c r="AE111" s="2">
        <v>0</v>
      </c>
      <c r="AF111" s="19"/>
      <c r="AG111" s="2">
        <f t="shared" si="9"/>
        <v>6258997</v>
      </c>
      <c r="AH111" s="13"/>
    </row>
    <row r="112" spans="1:34">
      <c r="A112" s="19" t="s">
        <v>227</v>
      </c>
      <c r="B112" s="19"/>
      <c r="C112" s="19" t="s">
        <v>228</v>
      </c>
      <c r="E112" s="19">
        <v>49072</v>
      </c>
      <c r="G112" s="2">
        <v>2591253</v>
      </c>
      <c r="H112" s="2"/>
      <c r="I112" s="2">
        <v>523925</v>
      </c>
      <c r="J112" s="2"/>
      <c r="K112" s="2">
        <v>0</v>
      </c>
      <c r="L112" s="2"/>
      <c r="M112" s="2">
        <f t="shared" si="8"/>
        <v>3115178</v>
      </c>
      <c r="N112" s="2"/>
      <c r="O112" s="2">
        <v>0</v>
      </c>
      <c r="P112" s="6"/>
      <c r="Q112" s="2">
        <v>514423</v>
      </c>
      <c r="R112" s="2"/>
      <c r="S112" s="2">
        <v>3073</v>
      </c>
      <c r="T112" s="2"/>
      <c r="U112" s="2">
        <v>0</v>
      </c>
      <c r="V112" s="2"/>
      <c r="W112" s="2">
        <v>0</v>
      </c>
      <c r="X112" s="2"/>
      <c r="Y112" s="2">
        <v>23121</v>
      </c>
      <c r="AA112" s="2"/>
      <c r="AB112" s="2"/>
      <c r="AC112" s="2">
        <f t="shared" si="7"/>
        <v>540617</v>
      </c>
      <c r="AD112" s="2"/>
      <c r="AE112" s="2">
        <v>0</v>
      </c>
      <c r="AF112" s="19"/>
      <c r="AG112" s="2">
        <f t="shared" si="9"/>
        <v>3655795</v>
      </c>
    </row>
    <row r="113" spans="1:34">
      <c r="A113" s="19" t="s">
        <v>229</v>
      </c>
      <c r="B113" s="19"/>
      <c r="C113" s="19" t="s">
        <v>230</v>
      </c>
      <c r="E113" s="19">
        <v>49163</v>
      </c>
      <c r="G113" s="2">
        <v>7398875</v>
      </c>
      <c r="H113" s="2"/>
      <c r="I113" s="2">
        <v>137036</v>
      </c>
      <c r="J113" s="2"/>
      <c r="K113" s="2">
        <v>0</v>
      </c>
      <c r="L113" s="2"/>
      <c r="M113" s="2">
        <f t="shared" si="8"/>
        <v>7535911</v>
      </c>
      <c r="N113" s="2"/>
      <c r="O113" s="2">
        <v>0</v>
      </c>
      <c r="P113" s="6"/>
      <c r="Q113" s="2">
        <v>1297162</v>
      </c>
      <c r="R113" s="2"/>
      <c r="S113" s="2">
        <v>4976</v>
      </c>
      <c r="T113" s="2"/>
      <c r="U113" s="2">
        <v>0</v>
      </c>
      <c r="V113" s="2"/>
      <c r="W113" s="2">
        <v>0</v>
      </c>
      <c r="X113" s="2"/>
      <c r="Y113" s="2">
        <v>0</v>
      </c>
      <c r="AA113" s="2"/>
      <c r="AB113" s="2"/>
      <c r="AC113" s="2">
        <f t="shared" si="7"/>
        <v>1302138</v>
      </c>
      <c r="AD113" s="2"/>
      <c r="AE113" s="2">
        <v>0</v>
      </c>
      <c r="AF113" s="19"/>
      <c r="AG113" s="2">
        <f t="shared" si="9"/>
        <v>8838049</v>
      </c>
    </row>
    <row r="114" spans="1:34" hidden="1">
      <c r="A114" s="19" t="s">
        <v>421</v>
      </c>
      <c r="B114" s="19"/>
      <c r="C114" s="19" t="s">
        <v>232</v>
      </c>
      <c r="E114" s="19">
        <v>49254</v>
      </c>
      <c r="G114" s="2">
        <v>3845852</v>
      </c>
      <c r="H114" s="2"/>
      <c r="I114" s="2">
        <v>768244</v>
      </c>
      <c r="J114" s="2"/>
      <c r="K114" s="2"/>
      <c r="L114" s="2"/>
      <c r="M114" s="2">
        <f t="shared" si="8"/>
        <v>4614096</v>
      </c>
      <c r="N114" s="2"/>
      <c r="O114" s="2"/>
      <c r="P114" s="6"/>
      <c r="Q114" s="2">
        <v>418431</v>
      </c>
      <c r="R114" s="2"/>
      <c r="S114" s="2">
        <v>5731</v>
      </c>
      <c r="T114" s="2"/>
      <c r="U114" s="2"/>
      <c r="V114" s="2"/>
      <c r="W114" s="2">
        <v>903</v>
      </c>
      <c r="X114" s="2"/>
      <c r="Y114" s="2">
        <v>96598</v>
      </c>
      <c r="AA114" s="2"/>
      <c r="AB114" s="2"/>
      <c r="AC114" s="2">
        <f t="shared" si="7"/>
        <v>521663</v>
      </c>
      <c r="AD114" s="2"/>
      <c r="AE114" s="2">
        <v>0</v>
      </c>
      <c r="AF114" s="19"/>
      <c r="AG114" s="2">
        <f t="shared" si="9"/>
        <v>5135759</v>
      </c>
      <c r="AH114" s="96" t="s">
        <v>373</v>
      </c>
    </row>
    <row r="115" spans="1:34">
      <c r="A115" s="19" t="s">
        <v>233</v>
      </c>
      <c r="B115" s="19"/>
      <c r="C115" s="19" t="s">
        <v>234</v>
      </c>
      <c r="E115" s="19">
        <v>49304</v>
      </c>
      <c r="G115" s="2">
        <v>2247847</v>
      </c>
      <c r="H115" s="2"/>
      <c r="I115" s="2">
        <v>4037027</v>
      </c>
      <c r="J115" s="2"/>
      <c r="K115" s="2">
        <v>0</v>
      </c>
      <c r="L115" s="2"/>
      <c r="M115" s="2">
        <f t="shared" si="8"/>
        <v>6284874</v>
      </c>
      <c r="N115" s="2"/>
      <c r="O115" s="2">
        <v>0</v>
      </c>
      <c r="P115" s="6"/>
      <c r="Q115" s="2">
        <v>857174</v>
      </c>
      <c r="R115" s="2"/>
      <c r="S115" s="2">
        <v>25074</v>
      </c>
      <c r="T115" s="2"/>
      <c r="U115" s="2">
        <v>0</v>
      </c>
      <c r="V115" s="2"/>
      <c r="W115" s="2">
        <v>0</v>
      </c>
      <c r="X115" s="2"/>
      <c r="Y115" s="2">
        <v>16002</v>
      </c>
      <c r="AA115" s="2"/>
      <c r="AB115" s="2"/>
      <c r="AC115" s="2">
        <f t="shared" si="7"/>
        <v>898250</v>
      </c>
      <c r="AD115" s="2"/>
      <c r="AE115" s="2">
        <v>0</v>
      </c>
      <c r="AF115" s="19"/>
      <c r="AG115" s="2">
        <f t="shared" si="9"/>
        <v>7183124</v>
      </c>
    </row>
    <row r="116" spans="1:34">
      <c r="A116" s="19" t="s">
        <v>237</v>
      </c>
      <c r="B116" s="19"/>
      <c r="C116" s="19" t="s">
        <v>238</v>
      </c>
      <c r="E116" s="19">
        <v>138222</v>
      </c>
      <c r="G116" s="2">
        <v>5884823</v>
      </c>
      <c r="H116" s="2"/>
      <c r="I116" s="2">
        <v>3440872</v>
      </c>
      <c r="J116" s="2"/>
      <c r="K116" s="2">
        <v>0</v>
      </c>
      <c r="L116" s="2"/>
      <c r="M116" s="2">
        <f t="shared" si="8"/>
        <v>9325695</v>
      </c>
      <c r="N116" s="2"/>
      <c r="O116" s="2">
        <v>0</v>
      </c>
      <c r="P116" s="6"/>
      <c r="Q116" s="2">
        <v>559369</v>
      </c>
      <c r="R116" s="2"/>
      <c r="S116" s="2">
        <v>71614</v>
      </c>
      <c r="T116" s="2"/>
      <c r="U116" s="2">
        <v>0</v>
      </c>
      <c r="V116" s="2"/>
      <c r="W116" s="2">
        <v>0</v>
      </c>
      <c r="X116" s="2"/>
      <c r="Y116" s="2">
        <v>76998</v>
      </c>
      <c r="AA116" s="2"/>
      <c r="AB116" s="2"/>
      <c r="AC116" s="2">
        <f t="shared" si="7"/>
        <v>707981</v>
      </c>
      <c r="AD116" s="2"/>
      <c r="AE116" s="2">
        <v>0</v>
      </c>
      <c r="AF116" s="19"/>
      <c r="AG116" s="2">
        <f t="shared" si="9"/>
        <v>10033676</v>
      </c>
    </row>
    <row r="117" spans="1:34" hidden="1">
      <c r="A117" s="71" t="s">
        <v>239</v>
      </c>
      <c r="B117" s="19"/>
      <c r="C117" s="19" t="s">
        <v>240</v>
      </c>
      <c r="E117" s="19">
        <v>49551</v>
      </c>
      <c r="G117" s="2"/>
      <c r="H117" s="2"/>
      <c r="I117" s="2"/>
      <c r="J117" s="2"/>
      <c r="K117" s="2"/>
      <c r="L117" s="2"/>
      <c r="M117" s="2">
        <f t="shared" si="8"/>
        <v>0</v>
      </c>
      <c r="N117" s="2"/>
      <c r="O117" s="2"/>
      <c r="P117" s="6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>
        <f t="shared" si="7"/>
        <v>0</v>
      </c>
      <c r="AD117" s="2"/>
      <c r="AE117" s="2">
        <v>0</v>
      </c>
      <c r="AF117" s="19"/>
      <c r="AG117" s="2">
        <f t="shared" si="9"/>
        <v>0</v>
      </c>
      <c r="AH117" s="17" t="s">
        <v>425</v>
      </c>
    </row>
    <row r="118" spans="1:34">
      <c r="A118" s="19" t="s">
        <v>245</v>
      </c>
      <c r="B118" s="19"/>
      <c r="C118" s="19" t="s">
        <v>246</v>
      </c>
      <c r="E118" s="19">
        <v>49742</v>
      </c>
      <c r="G118" s="2">
        <v>3088777</v>
      </c>
      <c r="H118" s="2"/>
      <c r="I118" s="2">
        <v>1415290</v>
      </c>
      <c r="J118" s="2"/>
      <c r="K118" s="2">
        <v>0</v>
      </c>
      <c r="L118" s="2"/>
      <c r="M118" s="2">
        <f t="shared" si="8"/>
        <v>4504067</v>
      </c>
      <c r="N118" s="2"/>
      <c r="O118" s="2">
        <v>0</v>
      </c>
      <c r="P118" s="6"/>
      <c r="Q118" s="2">
        <v>294906</v>
      </c>
      <c r="R118" s="2"/>
      <c r="S118" s="2">
        <v>15785</v>
      </c>
      <c r="T118" s="2"/>
      <c r="U118" s="2">
        <v>0</v>
      </c>
      <c r="V118" s="2"/>
      <c r="W118" s="2">
        <v>0</v>
      </c>
      <c r="X118" s="2"/>
      <c r="Y118" s="2">
        <v>38691</v>
      </c>
      <c r="AA118" s="2"/>
      <c r="AB118" s="2"/>
      <c r="AC118" s="2">
        <f t="shared" si="7"/>
        <v>349382</v>
      </c>
      <c r="AD118" s="2"/>
      <c r="AE118" s="2">
        <v>0</v>
      </c>
      <c r="AF118" s="19"/>
      <c r="AG118" s="2">
        <f t="shared" si="9"/>
        <v>4853449</v>
      </c>
    </row>
    <row r="119" spans="1:34">
      <c r="A119" s="19" t="s">
        <v>371</v>
      </c>
      <c r="B119" s="19"/>
      <c r="C119" s="19" t="s">
        <v>242</v>
      </c>
      <c r="E119" s="19">
        <v>125658</v>
      </c>
      <c r="G119" s="2">
        <v>6249952</v>
      </c>
      <c r="H119" s="2"/>
      <c r="I119" s="2">
        <v>1625161</v>
      </c>
      <c r="J119" s="2"/>
      <c r="K119" s="2">
        <v>0</v>
      </c>
      <c r="L119" s="2"/>
      <c r="M119" s="2">
        <f t="shared" si="8"/>
        <v>7875113</v>
      </c>
      <c r="N119" s="2"/>
      <c r="O119" s="2">
        <v>0</v>
      </c>
      <c r="P119" s="6"/>
      <c r="Q119" s="2">
        <f>1181532+250</f>
        <v>1181782</v>
      </c>
      <c r="R119" s="2"/>
      <c r="S119" s="2">
        <v>3759</v>
      </c>
      <c r="T119" s="2"/>
      <c r="U119" s="2">
        <v>0</v>
      </c>
      <c r="V119" s="2"/>
      <c r="W119" s="2">
        <v>0</v>
      </c>
      <c r="X119" s="2"/>
      <c r="Y119" s="2">
        <v>1251</v>
      </c>
      <c r="AA119" s="2"/>
      <c r="AB119" s="2"/>
      <c r="AC119" s="2">
        <f t="shared" si="7"/>
        <v>1186792</v>
      </c>
      <c r="AD119" s="2"/>
      <c r="AE119" s="2">
        <v>0</v>
      </c>
      <c r="AF119" s="19"/>
      <c r="AG119" s="2">
        <f t="shared" si="9"/>
        <v>9061905</v>
      </c>
      <c r="AH119" s="80"/>
    </row>
    <row r="120" spans="1:34">
      <c r="A120" s="2" t="s">
        <v>370</v>
      </c>
      <c r="B120" s="2"/>
      <c r="C120" s="2" t="s">
        <v>173</v>
      </c>
      <c r="E120" s="19"/>
      <c r="G120" s="2">
        <v>2632066</v>
      </c>
      <c r="H120" s="2"/>
      <c r="I120" s="2">
        <v>662708</v>
      </c>
      <c r="J120" s="2"/>
      <c r="K120" s="2">
        <v>0</v>
      </c>
      <c r="L120" s="2"/>
      <c r="M120" s="2">
        <f>SUM(G120:L120)</f>
        <v>3294774</v>
      </c>
      <c r="N120" s="2"/>
      <c r="O120" s="2">
        <v>0</v>
      </c>
      <c r="P120" s="6"/>
      <c r="Q120" s="2">
        <v>748288</v>
      </c>
      <c r="R120" s="2"/>
      <c r="S120" s="2">
        <v>0</v>
      </c>
      <c r="T120" s="2"/>
      <c r="U120" s="2">
        <v>0</v>
      </c>
      <c r="V120" s="2"/>
      <c r="W120" s="2">
        <v>0</v>
      </c>
      <c r="X120" s="2"/>
      <c r="Y120" s="2">
        <v>169653</v>
      </c>
      <c r="AA120" s="2"/>
      <c r="AB120" s="2"/>
      <c r="AC120" s="2">
        <f t="shared" si="7"/>
        <v>917941</v>
      </c>
      <c r="AD120" s="2"/>
      <c r="AE120" s="2">
        <v>0</v>
      </c>
      <c r="AF120" s="19"/>
      <c r="AG120" s="2">
        <f t="shared" si="9"/>
        <v>4212715</v>
      </c>
      <c r="AH120" s="80" t="s">
        <v>411</v>
      </c>
    </row>
    <row r="121" spans="1:34">
      <c r="A121" s="19" t="s">
        <v>431</v>
      </c>
      <c r="B121" s="19"/>
      <c r="C121" s="19" t="s">
        <v>248</v>
      </c>
      <c r="E121" s="19">
        <v>49825</v>
      </c>
      <c r="G121" s="2">
        <v>11799677</v>
      </c>
      <c r="H121" s="2"/>
      <c r="I121" s="2">
        <v>3403248</v>
      </c>
      <c r="J121" s="2"/>
      <c r="K121" s="2">
        <v>0</v>
      </c>
      <c r="L121" s="2"/>
      <c r="M121" s="2">
        <f t="shared" si="8"/>
        <v>15202925</v>
      </c>
      <c r="N121" s="2"/>
      <c r="O121" s="2">
        <v>0</v>
      </c>
      <c r="P121" s="6"/>
      <c r="Q121" s="2">
        <v>3439274</v>
      </c>
      <c r="R121" s="2"/>
      <c r="S121" s="2">
        <v>83992</v>
      </c>
      <c r="T121" s="2"/>
      <c r="U121" s="2">
        <v>0</v>
      </c>
      <c r="V121" s="2"/>
      <c r="W121" s="2">
        <v>0</v>
      </c>
      <c r="X121" s="2"/>
      <c r="Y121" s="2">
        <v>60536</v>
      </c>
      <c r="AA121" s="2"/>
      <c r="AB121" s="2"/>
      <c r="AC121" s="2">
        <f t="shared" si="7"/>
        <v>3583802</v>
      </c>
      <c r="AD121" s="2"/>
      <c r="AE121" s="2">
        <v>0</v>
      </c>
      <c r="AF121" s="19"/>
      <c r="AG121" s="2">
        <f t="shared" si="9"/>
        <v>18786727</v>
      </c>
      <c r="AH121" s="100" t="s">
        <v>424</v>
      </c>
    </row>
    <row r="122" spans="1:34">
      <c r="A122" s="19" t="s">
        <v>249</v>
      </c>
      <c r="B122" s="19"/>
      <c r="C122" s="19" t="s">
        <v>250</v>
      </c>
      <c r="E122" s="19">
        <v>49965</v>
      </c>
      <c r="G122" s="2">
        <v>8295962</v>
      </c>
      <c r="H122" s="2"/>
      <c r="I122" s="2">
        <v>3444488</v>
      </c>
      <c r="J122" s="2"/>
      <c r="K122" s="2">
        <v>0</v>
      </c>
      <c r="L122" s="2"/>
      <c r="M122" s="2">
        <f t="shared" si="8"/>
        <v>11740450</v>
      </c>
      <c r="N122" s="2"/>
      <c r="O122" s="2">
        <v>0</v>
      </c>
      <c r="P122" s="6"/>
      <c r="Q122" s="2">
        <v>2406256</v>
      </c>
      <c r="R122" s="2"/>
      <c r="S122" s="2">
        <v>65048</v>
      </c>
      <c r="T122" s="2"/>
      <c r="U122" s="2">
        <v>0</v>
      </c>
      <c r="V122" s="2"/>
      <c r="W122" s="2">
        <v>0</v>
      </c>
      <c r="X122" s="2"/>
      <c r="Y122" s="2">
        <v>23957</v>
      </c>
      <c r="AA122" s="2"/>
      <c r="AB122" s="2"/>
      <c r="AC122" s="2">
        <f t="shared" si="7"/>
        <v>2495261</v>
      </c>
      <c r="AD122" s="2"/>
      <c r="AE122" s="2">
        <v>0</v>
      </c>
      <c r="AF122" s="19"/>
      <c r="AG122" s="2">
        <f t="shared" si="9"/>
        <v>14235711</v>
      </c>
    </row>
    <row r="123" spans="1:34">
      <c r="A123" s="19" t="s">
        <v>261</v>
      </c>
      <c r="B123" s="19"/>
      <c r="C123" s="19" t="s">
        <v>262</v>
      </c>
      <c r="E123" s="19">
        <v>50526</v>
      </c>
      <c r="G123" s="2">
        <v>10051578</v>
      </c>
      <c r="H123" s="2"/>
      <c r="I123" s="2">
        <v>2502860</v>
      </c>
      <c r="J123" s="2"/>
      <c r="K123" s="2">
        <v>0</v>
      </c>
      <c r="L123" s="2"/>
      <c r="M123" s="2">
        <f t="shared" si="8"/>
        <v>12554438</v>
      </c>
      <c r="N123" s="2"/>
      <c r="O123" s="2">
        <v>0</v>
      </c>
      <c r="P123" s="6"/>
      <c r="Q123" s="2">
        <v>1784080</v>
      </c>
      <c r="R123" s="2"/>
      <c r="S123" s="2">
        <v>91827</v>
      </c>
      <c r="T123" s="2"/>
      <c r="U123" s="2">
        <v>0</v>
      </c>
      <c r="V123" s="2"/>
      <c r="W123" s="2">
        <v>0</v>
      </c>
      <c r="X123" s="2"/>
      <c r="Y123" s="2">
        <v>7603</v>
      </c>
      <c r="AA123" s="2"/>
      <c r="AB123" s="2"/>
      <c r="AC123" s="2">
        <f t="shared" si="7"/>
        <v>1883510</v>
      </c>
      <c r="AD123" s="2"/>
      <c r="AE123" s="2">
        <v>0</v>
      </c>
      <c r="AF123" s="19"/>
      <c r="AG123" s="2">
        <f t="shared" si="9"/>
        <v>14437948</v>
      </c>
    </row>
    <row r="124" spans="1:34">
      <c r="A124" s="19" t="s">
        <v>251</v>
      </c>
      <c r="B124" s="19"/>
      <c r="C124" s="19" t="s">
        <v>252</v>
      </c>
      <c r="E124" s="19">
        <v>50088</v>
      </c>
      <c r="G124" s="2">
        <v>13245448</v>
      </c>
      <c r="H124" s="2"/>
      <c r="I124" s="2">
        <v>1554720</v>
      </c>
      <c r="J124" s="2"/>
      <c r="K124" s="2">
        <v>0</v>
      </c>
      <c r="L124" s="2"/>
      <c r="M124" s="2">
        <f t="shared" si="8"/>
        <v>14800168</v>
      </c>
      <c r="N124" s="2"/>
      <c r="O124" s="2">
        <v>0</v>
      </c>
      <c r="P124" s="6"/>
      <c r="Q124" s="2">
        <v>1441240</v>
      </c>
      <c r="R124" s="2"/>
      <c r="S124" s="2">
        <v>194161</v>
      </c>
      <c r="T124" s="2"/>
      <c r="U124" s="2">
        <v>0</v>
      </c>
      <c r="V124" s="2"/>
      <c r="W124" s="2">
        <v>0</v>
      </c>
      <c r="X124" s="2"/>
      <c r="Y124" s="2">
        <v>31942</v>
      </c>
      <c r="AA124" s="2"/>
      <c r="AB124" s="2"/>
      <c r="AC124" s="2">
        <f t="shared" si="7"/>
        <v>1667343</v>
      </c>
      <c r="AD124" s="2"/>
      <c r="AE124" s="2">
        <v>0</v>
      </c>
      <c r="AF124" s="19"/>
      <c r="AG124" s="2">
        <f t="shared" si="9"/>
        <v>16467511</v>
      </c>
    </row>
    <row r="125" spans="1:34">
      <c r="A125" s="2" t="s">
        <v>389</v>
      </c>
      <c r="B125" s="19"/>
      <c r="C125" s="19" t="s">
        <v>254</v>
      </c>
      <c r="E125" s="19">
        <v>50260</v>
      </c>
      <c r="G125" s="2">
        <v>5076552</v>
      </c>
      <c r="H125" s="2"/>
      <c r="I125" s="2">
        <v>124075</v>
      </c>
      <c r="J125" s="2"/>
      <c r="K125" s="2">
        <v>0</v>
      </c>
      <c r="L125" s="2"/>
      <c r="M125" s="2">
        <f t="shared" si="8"/>
        <v>5200627</v>
      </c>
      <c r="N125" s="2"/>
      <c r="O125" s="2">
        <v>0</v>
      </c>
      <c r="P125" s="6"/>
      <c r="Q125" s="2">
        <v>1266014</v>
      </c>
      <c r="R125" s="2"/>
      <c r="S125" s="2">
        <v>8662</v>
      </c>
      <c r="T125" s="2"/>
      <c r="U125" s="2">
        <v>0</v>
      </c>
      <c r="V125" s="2"/>
      <c r="W125" s="2">
        <v>0</v>
      </c>
      <c r="X125" s="2"/>
      <c r="Y125" s="2">
        <v>0</v>
      </c>
      <c r="AA125" s="2"/>
      <c r="AB125" s="2"/>
      <c r="AC125" s="2">
        <f t="shared" si="7"/>
        <v>1274676</v>
      </c>
      <c r="AD125" s="2"/>
      <c r="AE125" s="2">
        <v>0</v>
      </c>
      <c r="AF125" s="19"/>
      <c r="AG125" s="2">
        <f t="shared" si="9"/>
        <v>6475303</v>
      </c>
      <c r="AH125" s="99"/>
    </row>
    <row r="126" spans="1:34" hidden="1">
      <c r="A126" s="19" t="s">
        <v>432</v>
      </c>
      <c r="B126" s="19"/>
      <c r="C126" s="19" t="s">
        <v>258</v>
      </c>
      <c r="E126" s="19">
        <v>50401</v>
      </c>
      <c r="G126" s="2">
        <v>12280695</v>
      </c>
      <c r="H126" s="2"/>
      <c r="I126" s="2">
        <v>1887655</v>
      </c>
      <c r="J126" s="2"/>
      <c r="K126" s="2"/>
      <c r="L126" s="2"/>
      <c r="M126" s="2">
        <f t="shared" si="8"/>
        <v>14168350</v>
      </c>
      <c r="N126" s="2"/>
      <c r="O126" s="2"/>
      <c r="P126" s="6"/>
      <c r="Q126" s="2">
        <v>1609736</v>
      </c>
      <c r="R126" s="2"/>
      <c r="S126" s="2">
        <v>63347</v>
      </c>
      <c r="T126" s="2"/>
      <c r="U126" s="2"/>
      <c r="V126" s="2"/>
      <c r="W126" s="2"/>
      <c r="X126" s="2"/>
      <c r="Y126" s="2">
        <v>-11203</v>
      </c>
      <c r="AA126" s="2"/>
      <c r="AB126" s="2"/>
      <c r="AC126" s="2">
        <f t="shared" si="7"/>
        <v>1661880</v>
      </c>
      <c r="AD126" s="2"/>
      <c r="AE126" s="2">
        <v>0</v>
      </c>
      <c r="AF126" s="19"/>
      <c r="AG126" s="2">
        <f t="shared" si="9"/>
        <v>15830230</v>
      </c>
      <c r="AH126" s="13" t="s">
        <v>373</v>
      </c>
    </row>
    <row r="127" spans="1:34" hidden="1">
      <c r="A127" s="71" t="s">
        <v>259</v>
      </c>
      <c r="B127" s="19"/>
      <c r="C127" s="19" t="s">
        <v>260</v>
      </c>
      <c r="E127" s="19">
        <v>50476</v>
      </c>
      <c r="G127" s="2"/>
      <c r="H127" s="2"/>
      <c r="I127" s="2"/>
      <c r="J127" s="2"/>
      <c r="K127" s="2"/>
      <c r="L127" s="2"/>
      <c r="M127" s="2">
        <f t="shared" si="8"/>
        <v>0</v>
      </c>
      <c r="N127" s="2"/>
      <c r="O127" s="2"/>
      <c r="P127" s="6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>
        <f t="shared" si="7"/>
        <v>0</v>
      </c>
      <c r="AD127" s="2"/>
      <c r="AE127" s="2">
        <v>0</v>
      </c>
      <c r="AF127" s="19"/>
      <c r="AG127" s="2">
        <f t="shared" si="9"/>
        <v>0</v>
      </c>
      <c r="AH127" s="60" t="s">
        <v>428</v>
      </c>
    </row>
    <row r="128" spans="1:34">
      <c r="A128" s="19" t="s">
        <v>255</v>
      </c>
      <c r="B128" s="19"/>
      <c r="C128" s="19" t="s">
        <v>358</v>
      </c>
      <c r="E128" s="19">
        <v>134999</v>
      </c>
      <c r="G128" s="2">
        <v>3217626</v>
      </c>
      <c r="H128" s="2"/>
      <c r="I128" s="2">
        <v>2776105</v>
      </c>
      <c r="J128" s="2"/>
      <c r="K128" s="2">
        <v>0</v>
      </c>
      <c r="L128" s="2"/>
      <c r="M128" s="2">
        <f t="shared" si="8"/>
        <v>5993731</v>
      </c>
      <c r="N128" s="2"/>
      <c r="O128" s="2">
        <v>0</v>
      </c>
      <c r="P128" s="6"/>
      <c r="Q128" s="2">
        <v>110193</v>
      </c>
      <c r="R128" s="2"/>
      <c r="S128" s="2">
        <v>23183</v>
      </c>
      <c r="T128" s="2"/>
      <c r="U128" s="2">
        <v>0</v>
      </c>
      <c r="V128" s="2"/>
      <c r="W128" s="2">
        <v>50</v>
      </c>
      <c r="X128" s="2"/>
      <c r="Y128" s="2">
        <v>4450</v>
      </c>
      <c r="AA128" s="2"/>
      <c r="AB128" s="2"/>
      <c r="AC128" s="2">
        <f t="shared" si="7"/>
        <v>137876</v>
      </c>
      <c r="AD128" s="2"/>
      <c r="AE128" s="2">
        <v>0</v>
      </c>
      <c r="AF128" s="19"/>
      <c r="AG128" s="2">
        <f t="shared" si="9"/>
        <v>6131607</v>
      </c>
      <c r="AH128" s="99"/>
    </row>
    <row r="129" spans="1:34">
      <c r="A129" s="19" t="s">
        <v>263</v>
      </c>
      <c r="B129" s="19"/>
      <c r="C129" s="19" t="s">
        <v>264</v>
      </c>
      <c r="E129" s="19">
        <v>50666</v>
      </c>
      <c r="G129" s="2">
        <v>12666819</v>
      </c>
      <c r="H129" s="2"/>
      <c r="I129" s="2">
        <v>3037578</v>
      </c>
      <c r="J129" s="2"/>
      <c r="K129" s="2">
        <v>0</v>
      </c>
      <c r="L129" s="2"/>
      <c r="M129" s="2">
        <f t="shared" si="8"/>
        <v>15704397</v>
      </c>
      <c r="N129" s="2"/>
      <c r="O129" s="2">
        <v>0</v>
      </c>
      <c r="P129" s="6"/>
      <c r="Q129" s="2">
        <v>372871</v>
      </c>
      <c r="R129" s="2"/>
      <c r="S129" s="2">
        <v>140895</v>
      </c>
      <c r="T129" s="2"/>
      <c r="U129" s="2">
        <v>0</v>
      </c>
      <c r="V129" s="2"/>
      <c r="W129" s="2">
        <v>3120</v>
      </c>
      <c r="X129" s="2"/>
      <c r="Y129" s="2">
        <v>118807</v>
      </c>
      <c r="AA129" s="2"/>
      <c r="AB129" s="2"/>
      <c r="AC129" s="2">
        <f t="shared" si="7"/>
        <v>635693</v>
      </c>
      <c r="AD129" s="2"/>
      <c r="AE129" s="2">
        <v>0</v>
      </c>
      <c r="AF129" s="19"/>
      <c r="AG129" s="2">
        <f t="shared" si="9"/>
        <v>16340090</v>
      </c>
      <c r="AH129" s="99"/>
    </row>
    <row r="131" spans="1:34">
      <c r="G131" s="2"/>
    </row>
    <row r="133" spans="1:34">
      <c r="G133" s="2"/>
    </row>
    <row r="134" spans="1:34">
      <c r="G134" s="2"/>
    </row>
    <row r="135" spans="1:34">
      <c r="G135" s="2"/>
    </row>
    <row r="136" spans="1:34">
      <c r="G136" s="2"/>
    </row>
    <row r="137" spans="1:34">
      <c r="G137" s="2"/>
    </row>
    <row r="138" spans="1:34">
      <c r="G138" s="2"/>
    </row>
  </sheetData>
  <mergeCells count="2">
    <mergeCell ref="O8:Y8"/>
    <mergeCell ref="G8:K8"/>
  </mergeCells>
  <phoneticPr fontId="3" type="noConversion"/>
  <pageMargins left="0.75" right="0.75" top="0.5" bottom="0.5" header="0" footer="0.25"/>
  <pageSetup scale="87" firstPageNumber="10" fitToWidth="0" fitToHeight="0" pageOrder="overThenDown" orientation="portrait" useFirstPageNumber="1" horizontalDpi="1200" verticalDpi="1200" r:id="rId1"/>
  <headerFooter alignWithMargins="0">
    <oddFooter>&amp;C&amp;"Times New Roman,Regular"&amp;12&amp;P</oddFooter>
  </headerFooter>
  <rowBreaks count="1" manualBreakCount="1">
    <brk id="67" max="16383" man="1"/>
  </rowBreaks>
  <colBreaks count="2" manualBreakCount="2">
    <brk id="14" max="1048575" man="1"/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BK139"/>
  <sheetViews>
    <sheetView tabSelected="1" zoomScaleNormal="100" zoomScaleSheetLayoutView="75" workbookViewId="0">
      <selection activeCell="I28" sqref="I28"/>
    </sheetView>
  </sheetViews>
  <sheetFormatPr defaultRowHeight="12.75"/>
  <cols>
    <col min="1" max="1" width="40.7109375" customWidth="1"/>
    <col min="2" max="2" width="1.7109375" customWidth="1"/>
    <col min="3" max="3" width="11.7109375" customWidth="1"/>
    <col min="4" max="4" width="1.7109375" hidden="1" customWidth="1"/>
    <col min="5" max="5" width="11.7109375" hidden="1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2.140625" customWidth="1"/>
    <col min="28" max="28" width="1.7109375" customWidth="1"/>
    <col min="29" max="29" width="40.7109375" customWidth="1"/>
    <col min="30" max="30" width="1.7109375" customWidth="1"/>
    <col min="31" max="31" width="11.7109375" customWidth="1"/>
    <col min="32" max="32" width="1.7109375" customWidth="1"/>
    <col min="33" max="33" width="11.7109375" customWidth="1"/>
    <col min="34" max="34" width="1.7109375" customWidth="1"/>
    <col min="35" max="35" width="11.7109375" customWidth="1"/>
    <col min="36" max="36" width="1.7109375" hidden="1" customWidth="1"/>
    <col min="37" max="37" width="9.7109375" hidden="1" customWidth="1"/>
    <col min="38" max="38" width="1.7109375" customWidth="1"/>
    <col min="39" max="39" width="12.7109375" customWidth="1"/>
    <col min="40" max="40" width="1.7109375" customWidth="1"/>
    <col min="41" max="41" width="10.7109375" customWidth="1"/>
    <col min="42" max="42" width="1.7109375" customWidth="1"/>
    <col min="43" max="43" width="10.7109375" customWidth="1"/>
    <col min="44" max="44" width="1.7109375" customWidth="1"/>
    <col min="45" max="45" width="10.7109375" customWidth="1"/>
    <col min="46" max="46" width="1.7109375" hidden="1" customWidth="1"/>
    <col min="47" max="47" width="11.7109375" hidden="1" customWidth="1"/>
    <col min="48" max="48" width="1.7109375" hidden="1" customWidth="1"/>
    <col min="49" max="49" width="11.7109375" hidden="1" customWidth="1"/>
    <col min="50" max="50" width="1.7109375" customWidth="1"/>
    <col min="51" max="51" width="9.7109375" customWidth="1"/>
    <col min="52" max="52" width="1.7109375" customWidth="1"/>
    <col min="53" max="53" width="10.7109375" style="40" customWidth="1"/>
    <col min="54" max="54" width="1.7109375" style="40" customWidth="1"/>
    <col min="55" max="55" width="10.7109375" style="40" customWidth="1"/>
    <col min="56" max="56" width="1.7109375" style="40" customWidth="1"/>
    <col min="57" max="57" width="11.7109375" style="40" customWidth="1"/>
    <col min="58" max="58" width="1.7109375" style="40" customWidth="1"/>
    <col min="59" max="59" width="10.7109375" style="40" customWidth="1"/>
    <col min="60" max="60" width="1.7109375" style="40" customWidth="1"/>
    <col min="61" max="61" width="11.7109375" style="40" customWidth="1"/>
    <col min="62" max="62" width="1.7109375" style="40" customWidth="1"/>
    <col min="63" max="63" width="9.7109375" bestFit="1" customWidth="1"/>
  </cols>
  <sheetData>
    <row r="1" spans="1:62">
      <c r="A1" s="66" t="s">
        <v>377</v>
      </c>
      <c r="AC1" s="66" t="s">
        <v>377</v>
      </c>
    </row>
    <row r="2" spans="1:62" s="19" customFormat="1" ht="12">
      <c r="A2" s="18" t="s">
        <v>391</v>
      </c>
      <c r="B2" s="18"/>
      <c r="C2" s="18"/>
      <c r="D2" s="18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8" t="s">
        <v>391</v>
      </c>
      <c r="AD2" s="18"/>
      <c r="AE2" s="18"/>
      <c r="AF2" s="18"/>
      <c r="AG2" s="2"/>
      <c r="AH2" s="2"/>
      <c r="AI2" s="2"/>
      <c r="AJ2" s="2"/>
      <c r="AK2" s="2"/>
      <c r="AL2" s="18"/>
      <c r="AM2" s="18"/>
      <c r="AN2" s="2"/>
      <c r="AO2" s="2"/>
      <c r="AP2" s="2"/>
      <c r="AQ2" s="2"/>
      <c r="AR2" s="2"/>
      <c r="AS2" s="2"/>
      <c r="AT2" s="2"/>
      <c r="AU2" s="2"/>
      <c r="AV2" s="2"/>
      <c r="AW2" s="25" t="s">
        <v>57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s="19" customFormat="1" ht="12">
      <c r="A3" s="58" t="s">
        <v>348</v>
      </c>
      <c r="F3" s="2"/>
      <c r="G3" s="2"/>
      <c r="H3" s="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8" t="s">
        <v>348</v>
      </c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25" t="s">
        <v>58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s="19" customFormat="1" ht="12.75" customHeight="1">
      <c r="A4" s="18" t="s">
        <v>349</v>
      </c>
      <c r="B4" s="18"/>
      <c r="C4" s="18"/>
      <c r="D4" s="18"/>
      <c r="E4" s="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8" t="s">
        <v>349</v>
      </c>
      <c r="AD4" s="18"/>
      <c r="AE4" s="18"/>
      <c r="AF4" s="18"/>
      <c r="AG4" s="2"/>
      <c r="AH4" s="2"/>
      <c r="AI4" s="2"/>
      <c r="AJ4" s="2"/>
      <c r="AK4" s="2"/>
      <c r="AL4" s="18"/>
      <c r="AM4" s="18"/>
      <c r="AN4" s="2"/>
      <c r="AO4" s="2"/>
      <c r="AP4" s="2"/>
      <c r="AQ4" s="2"/>
      <c r="AR4" s="2"/>
      <c r="AS4" s="2"/>
      <c r="AT4" s="2"/>
      <c r="AU4" s="2"/>
      <c r="AV4" s="2"/>
      <c r="AW4" s="25" t="s">
        <v>59</v>
      </c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s="19" customFormat="1" ht="12.75" customHeight="1">
      <c r="A5" s="18"/>
      <c r="B5" s="18"/>
      <c r="C5" s="18"/>
      <c r="D5" s="18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8"/>
      <c r="AD5" s="18"/>
      <c r="AE5" s="18"/>
      <c r="AF5" s="18"/>
      <c r="AG5" s="2"/>
      <c r="AH5" s="2"/>
      <c r="AI5" s="2"/>
      <c r="AJ5" s="2"/>
      <c r="AK5" s="2"/>
      <c r="AL5" s="18"/>
      <c r="AM5" s="18"/>
      <c r="AN5" s="2"/>
      <c r="AO5" s="2"/>
      <c r="AP5" s="2"/>
      <c r="AQ5" s="2"/>
      <c r="AR5" s="2"/>
      <c r="AS5" s="2"/>
      <c r="AT5" s="2"/>
      <c r="AU5" s="2"/>
      <c r="AV5" s="2"/>
      <c r="AW5" s="25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s="19" customFormat="1" ht="12.75" customHeight="1">
      <c r="A6" s="13"/>
      <c r="B6" s="2"/>
      <c r="C6" s="2"/>
      <c r="D6" s="18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8"/>
      <c r="AD6" s="18"/>
      <c r="AE6" s="18"/>
      <c r="AF6" s="18"/>
      <c r="AG6" s="2"/>
      <c r="AH6" s="2"/>
      <c r="AI6" s="2"/>
      <c r="AJ6" s="2"/>
      <c r="AK6" s="2"/>
      <c r="AL6" s="18"/>
      <c r="AM6" s="18"/>
      <c r="AN6" s="2"/>
      <c r="AO6" s="2"/>
      <c r="AP6" s="2"/>
      <c r="AQ6" s="2"/>
      <c r="AR6" s="2"/>
      <c r="AS6" s="2"/>
      <c r="AT6" s="2"/>
      <c r="AU6" s="2"/>
      <c r="AV6" s="2"/>
      <c r="AW6" s="25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17" customFormat="1" ht="12">
      <c r="A7" s="58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AD7" s="15"/>
      <c r="AE7" s="15"/>
      <c r="AF7" s="15"/>
    </row>
    <row r="8" spans="1:62" s="19" customFormat="1" ht="12">
      <c r="B8" s="18"/>
      <c r="C8" s="18"/>
      <c r="D8" s="18"/>
      <c r="E8" s="18"/>
      <c r="F8" s="2"/>
      <c r="G8" s="20" t="s">
        <v>60</v>
      </c>
      <c r="H8" s="20"/>
      <c r="I8" s="20"/>
      <c r="J8" s="20"/>
      <c r="K8" s="20"/>
      <c r="L8" s="20"/>
      <c r="M8" s="20"/>
      <c r="N8" s="2"/>
      <c r="O8" s="119" t="s">
        <v>61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34"/>
      <c r="AD8" s="8"/>
      <c r="AE8" s="8"/>
      <c r="AF8" s="8"/>
      <c r="AG8" s="20" t="s">
        <v>61</v>
      </c>
      <c r="AH8" s="20"/>
      <c r="AI8" s="20"/>
      <c r="AJ8" s="20"/>
      <c r="AK8" s="20"/>
      <c r="AL8" s="2"/>
      <c r="AM8" s="119" t="s">
        <v>436</v>
      </c>
      <c r="AN8" s="119"/>
      <c r="AO8" s="119"/>
      <c r="AP8" s="2"/>
      <c r="AQ8" s="2"/>
      <c r="AR8" s="2"/>
      <c r="AS8" s="2"/>
      <c r="AT8" s="2"/>
      <c r="AU8" s="2"/>
      <c r="AV8" s="2"/>
      <c r="AW8" s="7" t="s">
        <v>7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7" t="s">
        <v>4</v>
      </c>
      <c r="BJ8" s="2"/>
    </row>
    <row r="9" spans="1:62" s="21" customFormat="1" ht="12">
      <c r="A9" s="115" t="s">
        <v>359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Q9" s="7"/>
      <c r="R9" s="7"/>
      <c r="S9" s="7"/>
      <c r="T9" s="7"/>
      <c r="U9" s="7"/>
      <c r="V9" s="7"/>
      <c r="W9" s="7"/>
      <c r="X9" s="7"/>
      <c r="Y9" s="7"/>
      <c r="Z9" s="7"/>
      <c r="AA9" s="7" t="s">
        <v>62</v>
      </c>
      <c r="AB9" s="7"/>
      <c r="AC9" s="115" t="s">
        <v>359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 t="s">
        <v>63</v>
      </c>
      <c r="AX9" s="7"/>
      <c r="AY9" s="7"/>
      <c r="AZ9" s="7"/>
      <c r="BA9" s="7"/>
      <c r="BB9" s="7"/>
      <c r="BD9" s="7"/>
      <c r="BE9" s="7" t="s">
        <v>4</v>
      </c>
      <c r="BF9" s="7"/>
      <c r="BG9" s="7" t="s">
        <v>4</v>
      </c>
      <c r="BH9" s="7"/>
      <c r="BI9" s="7" t="s">
        <v>64</v>
      </c>
      <c r="BJ9" s="7"/>
    </row>
    <row r="10" spans="1:62" s="21" customFormat="1" ht="12">
      <c r="A10" s="41"/>
      <c r="B10" s="41"/>
      <c r="C10" s="41"/>
      <c r="D10" s="41"/>
      <c r="E10" s="41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65</v>
      </c>
      <c r="R10" s="8"/>
      <c r="S10" s="8" t="s">
        <v>66</v>
      </c>
      <c r="T10" s="8"/>
      <c r="U10" s="8"/>
      <c r="V10" s="8"/>
      <c r="W10" s="8"/>
      <c r="X10" s="8"/>
      <c r="Y10" s="8"/>
      <c r="Z10" s="8"/>
      <c r="AA10" s="8" t="s">
        <v>67</v>
      </c>
      <c r="AB10" s="8"/>
      <c r="AC10" s="8"/>
      <c r="AD10" s="8"/>
      <c r="AE10" s="8"/>
      <c r="AF10" s="8"/>
      <c r="AG10" s="8" t="s">
        <v>68</v>
      </c>
      <c r="AH10" s="8"/>
      <c r="AI10" s="8"/>
      <c r="AJ10" s="8"/>
      <c r="AK10" s="8"/>
      <c r="AL10" s="8"/>
      <c r="AM10" s="7" t="s">
        <v>69</v>
      </c>
      <c r="AN10" s="7"/>
      <c r="AQ10" s="21" t="s">
        <v>70</v>
      </c>
      <c r="AU10" s="21" t="s">
        <v>71</v>
      </c>
      <c r="AW10" s="21" t="s">
        <v>72</v>
      </c>
      <c r="AY10" s="21" t="s">
        <v>73</v>
      </c>
      <c r="BA10" s="8" t="s">
        <v>9</v>
      </c>
      <c r="BB10" s="7"/>
      <c r="BC10" s="7" t="s">
        <v>124</v>
      </c>
      <c r="BD10" s="7"/>
      <c r="BE10" s="8" t="s">
        <v>74</v>
      </c>
      <c r="BF10" s="7"/>
      <c r="BG10" s="7" t="s">
        <v>75</v>
      </c>
      <c r="BH10" s="7"/>
      <c r="BI10" s="7" t="s">
        <v>76</v>
      </c>
      <c r="BJ10" s="7"/>
    </row>
    <row r="11" spans="1:62" s="21" customFormat="1" ht="12">
      <c r="A11" s="23" t="s">
        <v>434</v>
      </c>
      <c r="C11" s="23" t="s">
        <v>13</v>
      </c>
      <c r="E11" s="23" t="s">
        <v>14</v>
      </c>
      <c r="F11" s="7"/>
      <c r="G11" s="44" t="s">
        <v>314</v>
      </c>
      <c r="H11" s="7"/>
      <c r="I11" s="44" t="s">
        <v>77</v>
      </c>
      <c r="J11" s="7"/>
      <c r="K11" s="44" t="s">
        <v>78</v>
      </c>
      <c r="L11" s="7"/>
      <c r="M11" s="44" t="s">
        <v>89</v>
      </c>
      <c r="N11" s="7"/>
      <c r="O11" s="44" t="s">
        <v>79</v>
      </c>
      <c r="P11" s="7"/>
      <c r="Q11" s="44" t="s">
        <v>80</v>
      </c>
      <c r="R11" s="7"/>
      <c r="S11" s="44" t="s">
        <v>81</v>
      </c>
      <c r="T11" s="7"/>
      <c r="U11" s="44" t="s">
        <v>82</v>
      </c>
      <c r="V11" s="7"/>
      <c r="W11" s="44" t="s">
        <v>83</v>
      </c>
      <c r="X11" s="12"/>
      <c r="Y11" s="11" t="s">
        <v>84</v>
      </c>
      <c r="Z11" s="7"/>
      <c r="AA11" s="44" t="s">
        <v>85</v>
      </c>
      <c r="AB11" s="12"/>
      <c r="AC11" s="23" t="s">
        <v>434</v>
      </c>
      <c r="AE11" s="23" t="s">
        <v>13</v>
      </c>
      <c r="AF11" s="26"/>
      <c r="AG11" s="11" t="s">
        <v>86</v>
      </c>
      <c r="AH11" s="12"/>
      <c r="AI11" s="11" t="s">
        <v>87</v>
      </c>
      <c r="AJ11" s="7"/>
      <c r="AK11" s="4" t="s">
        <v>89</v>
      </c>
      <c r="AL11" s="7"/>
      <c r="AM11" s="4" t="s">
        <v>88</v>
      </c>
      <c r="AN11" s="7"/>
      <c r="AO11" s="23" t="s">
        <v>89</v>
      </c>
      <c r="AP11" s="26"/>
      <c r="AQ11" s="23" t="s">
        <v>54</v>
      </c>
      <c r="AR11" s="26"/>
      <c r="AS11" s="23" t="s">
        <v>90</v>
      </c>
      <c r="AT11" s="26"/>
      <c r="AU11" s="23" t="s">
        <v>91</v>
      </c>
      <c r="AV11" s="26"/>
      <c r="AW11" s="23" t="s">
        <v>92</v>
      </c>
      <c r="AX11" s="26"/>
      <c r="AY11" s="23" t="s">
        <v>93</v>
      </c>
      <c r="AZ11" s="26"/>
      <c r="BA11" s="23" t="s">
        <v>93</v>
      </c>
      <c r="BB11" s="8"/>
      <c r="BC11" s="4" t="s">
        <v>4</v>
      </c>
      <c r="BD11" s="7"/>
      <c r="BE11" s="4" t="s">
        <v>94</v>
      </c>
      <c r="BF11" s="7"/>
      <c r="BG11" s="4" t="s">
        <v>95</v>
      </c>
      <c r="BH11" s="7"/>
      <c r="BI11" s="4" t="s">
        <v>22</v>
      </c>
      <c r="BJ11" s="7"/>
    </row>
    <row r="12" spans="1:62">
      <c r="BC12" s="2"/>
    </row>
    <row r="13" spans="1:62">
      <c r="A13" s="54" t="s">
        <v>346</v>
      </c>
      <c r="AC13" s="54" t="s">
        <v>346</v>
      </c>
    </row>
    <row r="14" spans="1:62">
      <c r="A14" s="13" t="s">
        <v>399</v>
      </c>
      <c r="B14" s="13"/>
      <c r="C14" s="13" t="s">
        <v>365</v>
      </c>
      <c r="D14" s="65"/>
      <c r="E14" s="65"/>
      <c r="F14" s="65"/>
      <c r="G14" s="81">
        <v>369599</v>
      </c>
      <c r="H14" s="81"/>
      <c r="I14" s="81">
        <v>128993</v>
      </c>
      <c r="J14" s="81"/>
      <c r="K14" s="81">
        <v>5925631</v>
      </c>
      <c r="L14" s="81"/>
      <c r="M14" s="81">
        <v>2090698</v>
      </c>
      <c r="N14" s="81"/>
      <c r="O14" s="81">
        <v>682001</v>
      </c>
      <c r="P14" s="81"/>
      <c r="Q14" s="81">
        <v>1271548</v>
      </c>
      <c r="R14" s="81"/>
      <c r="S14" s="81">
        <v>49270</v>
      </c>
      <c r="T14" s="81"/>
      <c r="U14" s="81">
        <v>834113</v>
      </c>
      <c r="V14" s="81"/>
      <c r="W14" s="81">
        <v>459867</v>
      </c>
      <c r="X14" s="81"/>
      <c r="Y14" s="81">
        <v>0</v>
      </c>
      <c r="Z14" s="81"/>
      <c r="AA14" s="81">
        <v>1099802</v>
      </c>
      <c r="AB14" s="81"/>
      <c r="AC14" s="13" t="s">
        <v>366</v>
      </c>
      <c r="AD14" s="13"/>
      <c r="AE14" s="13" t="s">
        <v>365</v>
      </c>
      <c r="AF14" s="13"/>
      <c r="AG14" s="81">
        <v>14913</v>
      </c>
      <c r="AH14" s="81"/>
      <c r="AI14" s="81">
        <v>374918</v>
      </c>
      <c r="AJ14" s="81"/>
      <c r="AK14" s="81"/>
      <c r="AL14" s="65"/>
      <c r="AM14" s="81">
        <v>0</v>
      </c>
      <c r="AN14" s="81"/>
      <c r="AO14" s="81">
        <v>311469</v>
      </c>
      <c r="AP14" s="81"/>
      <c r="AQ14" s="81">
        <v>20291</v>
      </c>
      <c r="AR14" s="81"/>
      <c r="AS14" s="81">
        <v>0</v>
      </c>
      <c r="AT14" s="81"/>
      <c r="AU14" s="81">
        <v>0</v>
      </c>
      <c r="AV14" s="81"/>
      <c r="AW14" s="81">
        <v>0</v>
      </c>
      <c r="AX14" s="81"/>
      <c r="AY14" s="81">
        <f>802281+160504</f>
        <v>962785</v>
      </c>
      <c r="AZ14" s="81"/>
      <c r="BA14" s="13">
        <f>SUM(G14:AZ14)</f>
        <v>14595898</v>
      </c>
      <c r="BB14" s="81"/>
      <c r="BC14" s="13">
        <f>+'St of Act-Rev'!AG15-BA14</f>
        <v>1036431</v>
      </c>
      <c r="BD14" s="81"/>
      <c r="BE14" s="81">
        <v>5311369</v>
      </c>
      <c r="BF14" s="81"/>
      <c r="BG14" s="81">
        <f>+BC14+BE14</f>
        <v>6347800</v>
      </c>
      <c r="BI14" s="13">
        <f>+'St of Net Assets'!AA13-BG14</f>
        <v>0</v>
      </c>
    </row>
    <row r="15" spans="1:62">
      <c r="A15" s="13" t="s">
        <v>323</v>
      </c>
      <c r="B15" s="60"/>
      <c r="C15" s="60" t="s">
        <v>155</v>
      </c>
      <c r="D15" s="65"/>
      <c r="E15" s="60">
        <v>62042</v>
      </c>
      <c r="F15" s="65"/>
      <c r="G15" s="13">
        <v>588543</v>
      </c>
      <c r="H15" s="13"/>
      <c r="I15" s="13">
        <v>256467</v>
      </c>
      <c r="J15" s="13"/>
      <c r="K15" s="13">
        <v>2687311</v>
      </c>
      <c r="L15" s="13"/>
      <c r="M15" s="13">
        <f>1152062+4477+1447</f>
        <v>1157986</v>
      </c>
      <c r="N15" s="13"/>
      <c r="O15" s="13">
        <v>153566</v>
      </c>
      <c r="P15" s="13"/>
      <c r="Q15" s="13">
        <v>197252</v>
      </c>
      <c r="R15" s="13"/>
      <c r="S15" s="13">
        <v>71902</v>
      </c>
      <c r="T15" s="13"/>
      <c r="U15" s="13">
        <v>643226</v>
      </c>
      <c r="V15" s="13"/>
      <c r="W15" s="13">
        <v>375777</v>
      </c>
      <c r="X15" s="13"/>
      <c r="Y15" s="13">
        <v>4609</v>
      </c>
      <c r="Z15" s="13"/>
      <c r="AA15" s="13">
        <v>489194</v>
      </c>
      <c r="AB15" s="81"/>
      <c r="AC15" s="13" t="s">
        <v>323</v>
      </c>
      <c r="AD15" s="13"/>
      <c r="AE15" s="13" t="s">
        <v>155</v>
      </c>
      <c r="AF15" s="13"/>
      <c r="AG15" s="13">
        <v>6221</v>
      </c>
      <c r="AH15" s="13"/>
      <c r="AI15" s="13">
        <v>63214</v>
      </c>
      <c r="AJ15" s="13"/>
      <c r="AK15" s="13"/>
      <c r="AL15" s="86"/>
      <c r="AM15" s="13">
        <v>135542</v>
      </c>
      <c r="AN15" s="13"/>
      <c r="AO15" s="13">
        <v>141240</v>
      </c>
      <c r="AP15" s="13"/>
      <c r="AQ15" s="13">
        <v>24345</v>
      </c>
      <c r="AR15" s="13"/>
      <c r="AS15" s="13">
        <v>50690</v>
      </c>
      <c r="AT15" s="13"/>
      <c r="AU15" s="13"/>
      <c r="AV15" s="13"/>
      <c r="AW15" s="13"/>
      <c r="AX15" s="13"/>
      <c r="AY15" s="13">
        <v>0</v>
      </c>
      <c r="AZ15" s="13"/>
      <c r="BA15" s="13">
        <f t="shared" ref="BA15:BA64" si="0">SUM(G15:AZ15)</f>
        <v>7047085</v>
      </c>
      <c r="BB15" s="13"/>
      <c r="BC15" s="13">
        <f>+'St of Act-Rev'!AG16-BA15</f>
        <v>1057212</v>
      </c>
      <c r="BD15" s="13"/>
      <c r="BE15" s="13">
        <v>8194357</v>
      </c>
      <c r="BF15" s="13"/>
      <c r="BG15" s="13">
        <f>+BC15+BE15</f>
        <v>9251569</v>
      </c>
      <c r="BI15" s="13">
        <f>+'St of Net Assets'!AA14-BG15</f>
        <v>0</v>
      </c>
    </row>
    <row r="16" spans="1:62">
      <c r="A16" s="13" t="s">
        <v>265</v>
      </c>
      <c r="B16" s="60"/>
      <c r="C16" s="60" t="s">
        <v>156</v>
      </c>
      <c r="D16" s="65"/>
      <c r="E16" s="60">
        <v>50815</v>
      </c>
      <c r="F16" s="65"/>
      <c r="G16" s="13">
        <v>786863</v>
      </c>
      <c r="H16" s="13"/>
      <c r="I16" s="13">
        <v>356221</v>
      </c>
      <c r="J16" s="13"/>
      <c r="K16" s="13">
        <v>7616842</v>
      </c>
      <c r="L16" s="13"/>
      <c r="M16" s="13">
        <f>322467+325991</f>
        <v>648458</v>
      </c>
      <c r="N16" s="13"/>
      <c r="O16" s="13">
        <v>595945</v>
      </c>
      <c r="P16" s="13"/>
      <c r="Q16" s="13">
        <v>1433793</v>
      </c>
      <c r="R16" s="13"/>
      <c r="S16" s="13">
        <v>60700</v>
      </c>
      <c r="T16" s="13"/>
      <c r="U16" s="13">
        <v>1225200</v>
      </c>
      <c r="V16" s="13"/>
      <c r="W16" s="13">
        <v>407337</v>
      </c>
      <c r="X16" s="13"/>
      <c r="Y16" s="13">
        <v>86687</v>
      </c>
      <c r="Z16" s="13"/>
      <c r="AA16" s="13">
        <v>1086905</v>
      </c>
      <c r="AB16" s="13"/>
      <c r="AC16" s="13" t="s">
        <v>265</v>
      </c>
      <c r="AD16" s="60"/>
      <c r="AE16" s="60" t="s">
        <v>156</v>
      </c>
      <c r="AF16" s="60"/>
      <c r="AG16" s="13">
        <v>37813</v>
      </c>
      <c r="AH16" s="13"/>
      <c r="AI16" s="13">
        <v>31866</v>
      </c>
      <c r="AJ16" s="13"/>
      <c r="AK16" s="13"/>
      <c r="AL16" s="13"/>
      <c r="AM16" s="13">
        <v>240391</v>
      </c>
      <c r="AN16" s="13"/>
      <c r="AO16" s="13">
        <v>2091</v>
      </c>
      <c r="AP16" s="13"/>
      <c r="AQ16" s="13">
        <v>31695</v>
      </c>
      <c r="AR16" s="13"/>
      <c r="AS16" s="13">
        <v>0</v>
      </c>
      <c r="AT16" s="13"/>
      <c r="AU16" s="13"/>
      <c r="AV16" s="13"/>
      <c r="AW16" s="13"/>
      <c r="AX16" s="13"/>
      <c r="AY16" s="13">
        <v>0</v>
      </c>
      <c r="AZ16" s="13"/>
      <c r="BA16" s="13">
        <f t="shared" si="0"/>
        <v>14648807</v>
      </c>
      <c r="BB16" s="13"/>
      <c r="BC16" s="13">
        <f>+'St of Act-Rev'!AG17-BA16</f>
        <v>270180</v>
      </c>
      <c r="BD16" s="13"/>
      <c r="BE16" s="13">
        <v>15061085</v>
      </c>
      <c r="BF16" s="13"/>
      <c r="BG16" s="13">
        <f t="shared" ref="BG16:BG64" si="1">+BC16+BE16</f>
        <v>15331265</v>
      </c>
      <c r="BI16" s="13">
        <f>+'St of Net Assets'!AA15-BG16</f>
        <v>0</v>
      </c>
    </row>
    <row r="17" spans="1:61">
      <c r="A17" s="13" t="s">
        <v>277</v>
      </c>
      <c r="B17" s="60"/>
      <c r="C17" s="60" t="s">
        <v>158</v>
      </c>
      <c r="D17" s="65"/>
      <c r="E17" s="60">
        <v>51169</v>
      </c>
      <c r="F17" s="65"/>
      <c r="G17" s="13">
        <v>240760</v>
      </c>
      <c r="H17" s="13"/>
      <c r="I17" s="13">
        <v>341132</v>
      </c>
      <c r="J17" s="13"/>
      <c r="K17" s="13">
        <v>4172947</v>
      </c>
      <c r="L17" s="13"/>
      <c r="M17" s="13">
        <v>1166886</v>
      </c>
      <c r="N17" s="13"/>
      <c r="O17" s="13">
        <v>1038678</v>
      </c>
      <c r="P17" s="13"/>
      <c r="Q17" s="13">
        <v>547108</v>
      </c>
      <c r="R17" s="13"/>
      <c r="S17" s="13">
        <v>65463</v>
      </c>
      <c r="T17" s="13"/>
      <c r="U17" s="13">
        <v>1790022</v>
      </c>
      <c r="V17" s="13"/>
      <c r="W17" s="13">
        <v>544007</v>
      </c>
      <c r="X17" s="13"/>
      <c r="Y17" s="13">
        <v>92</v>
      </c>
      <c r="Z17" s="13"/>
      <c r="AA17" s="13">
        <v>1772172</v>
      </c>
      <c r="AB17" s="13"/>
      <c r="AC17" s="13" t="s">
        <v>277</v>
      </c>
      <c r="AD17" s="60"/>
      <c r="AE17" s="60" t="s">
        <v>158</v>
      </c>
      <c r="AF17" s="60"/>
      <c r="AG17" s="13">
        <v>18119</v>
      </c>
      <c r="AH17" s="13"/>
      <c r="AI17" s="13">
        <v>566867</v>
      </c>
      <c r="AJ17" s="13"/>
      <c r="AK17" s="13"/>
      <c r="AL17" s="13"/>
      <c r="AM17" s="13">
        <v>0</v>
      </c>
      <c r="AN17" s="13"/>
      <c r="AO17" s="13">
        <v>197199</v>
      </c>
      <c r="AP17" s="13"/>
      <c r="AQ17" s="13">
        <v>360</v>
      </c>
      <c r="AR17" s="13"/>
      <c r="AS17" s="13">
        <v>0</v>
      </c>
      <c r="AT17" s="13"/>
      <c r="AU17" s="13"/>
      <c r="AV17" s="13"/>
      <c r="AW17" s="13"/>
      <c r="AX17" s="13"/>
      <c r="AY17" s="13">
        <v>0</v>
      </c>
      <c r="AZ17" s="13"/>
      <c r="BA17" s="13">
        <f t="shared" si="0"/>
        <v>12461812</v>
      </c>
      <c r="BB17" s="13"/>
      <c r="BC17" s="13">
        <f>+'St of Act-Rev'!AG18-BA17</f>
        <v>-224651</v>
      </c>
      <c r="BD17" s="13"/>
      <c r="BE17" s="13">
        <v>18069269</v>
      </c>
      <c r="BF17" s="13"/>
      <c r="BG17" s="13">
        <f t="shared" si="1"/>
        <v>17844618</v>
      </c>
      <c r="BI17" s="13">
        <f>+'St of Net Assets'!AA16-BG17</f>
        <v>0</v>
      </c>
    </row>
    <row r="18" spans="1:61">
      <c r="A18" s="13" t="s">
        <v>267</v>
      </c>
      <c r="B18" s="60"/>
      <c r="C18" s="60" t="s">
        <v>162</v>
      </c>
      <c r="D18" s="65"/>
      <c r="E18" s="60">
        <v>50856</v>
      </c>
      <c r="F18" s="65"/>
      <c r="G18" s="13">
        <v>293797</v>
      </c>
      <c r="H18" s="13"/>
      <c r="I18" s="13">
        <v>3979404</v>
      </c>
      <c r="J18" s="13"/>
      <c r="K18" s="13">
        <v>0</v>
      </c>
      <c r="L18" s="13"/>
      <c r="M18" s="13">
        <v>89427</v>
      </c>
      <c r="N18" s="13"/>
      <c r="O18" s="13">
        <v>898421</v>
      </c>
      <c r="P18" s="13"/>
      <c r="Q18" s="13">
        <v>132723</v>
      </c>
      <c r="R18" s="13"/>
      <c r="S18" s="13">
        <v>29042</v>
      </c>
      <c r="T18" s="13"/>
      <c r="U18" s="13">
        <v>571671</v>
      </c>
      <c r="V18" s="13"/>
      <c r="W18" s="13">
        <v>305191</v>
      </c>
      <c r="X18" s="13"/>
      <c r="Y18" s="13">
        <v>0</v>
      </c>
      <c r="Z18" s="13"/>
      <c r="AA18" s="13">
        <v>602812</v>
      </c>
      <c r="AB18" s="13"/>
      <c r="AC18" s="13" t="s">
        <v>267</v>
      </c>
      <c r="AD18" s="60"/>
      <c r="AE18" s="60" t="s">
        <v>162</v>
      </c>
      <c r="AF18" s="60"/>
      <c r="AG18" s="13">
        <v>0</v>
      </c>
      <c r="AH18" s="13"/>
      <c r="AI18" s="13">
        <v>173769</v>
      </c>
      <c r="AJ18" s="13"/>
      <c r="AK18" s="13"/>
      <c r="AL18" s="13"/>
      <c r="AM18" s="13">
        <v>192560</v>
      </c>
      <c r="AN18" s="13"/>
      <c r="AO18" s="13">
        <v>0</v>
      </c>
      <c r="AP18" s="13"/>
      <c r="AQ18" s="13">
        <v>33263</v>
      </c>
      <c r="AR18" s="13"/>
      <c r="AS18" s="13">
        <v>0</v>
      </c>
      <c r="AT18" s="13"/>
      <c r="AU18" s="13"/>
      <c r="AV18" s="13"/>
      <c r="AW18" s="13"/>
      <c r="AX18" s="13"/>
      <c r="AY18" s="13">
        <v>0</v>
      </c>
      <c r="AZ18" s="13"/>
      <c r="BA18" s="13">
        <f t="shared" si="0"/>
        <v>7302080</v>
      </c>
      <c r="BB18" s="13"/>
      <c r="BC18" s="13">
        <f>+'St of Act-Rev'!AG19-BA18</f>
        <v>-484633</v>
      </c>
      <c r="BD18" s="13"/>
      <c r="BE18" s="13">
        <v>1614400</v>
      </c>
      <c r="BF18" s="13"/>
      <c r="BG18" s="13">
        <f t="shared" si="1"/>
        <v>1129767</v>
      </c>
      <c r="BI18" s="13">
        <f>+'St of Net Assets'!AA17-BG18</f>
        <v>0</v>
      </c>
    </row>
    <row r="19" spans="1:61">
      <c r="A19" s="13" t="s">
        <v>290</v>
      </c>
      <c r="B19" s="19"/>
      <c r="C19" s="19" t="s">
        <v>254</v>
      </c>
      <c r="E19" s="19">
        <v>51656</v>
      </c>
      <c r="G19" s="2">
        <v>1320903</v>
      </c>
      <c r="H19" s="2"/>
      <c r="I19" s="2">
        <v>395569</v>
      </c>
      <c r="J19" s="2"/>
      <c r="K19" s="2">
        <v>6052227</v>
      </c>
      <c r="L19" s="2"/>
      <c r="M19" s="2">
        <v>1455814</v>
      </c>
      <c r="N19" s="2"/>
      <c r="O19" s="2">
        <v>779528</v>
      </c>
      <c r="P19" s="2"/>
      <c r="Q19" s="2">
        <v>658512</v>
      </c>
      <c r="R19" s="2"/>
      <c r="S19" s="2">
        <v>83599</v>
      </c>
      <c r="T19" s="2"/>
      <c r="U19" s="2">
        <v>649133</v>
      </c>
      <c r="V19" s="2"/>
      <c r="W19" s="2">
        <v>630620</v>
      </c>
      <c r="X19" s="2"/>
      <c r="Y19" s="2">
        <v>0</v>
      </c>
      <c r="Z19" s="2"/>
      <c r="AA19" s="2">
        <v>1438123</v>
      </c>
      <c r="AB19" s="2"/>
      <c r="AC19" s="13" t="s">
        <v>290</v>
      </c>
      <c r="AD19" s="19"/>
      <c r="AE19" s="19" t="s">
        <v>254</v>
      </c>
      <c r="AF19" s="19"/>
      <c r="AG19" s="2">
        <v>14988</v>
      </c>
      <c r="AH19" s="2"/>
      <c r="AI19" s="2">
        <v>143365</v>
      </c>
      <c r="AJ19" s="2"/>
      <c r="AK19" s="2"/>
      <c r="AL19" s="2"/>
      <c r="AM19" s="2">
        <v>419558</v>
      </c>
      <c r="AN19" s="2"/>
      <c r="AO19" s="2">
        <v>3066</v>
      </c>
      <c r="AP19" s="2"/>
      <c r="AQ19" s="2">
        <v>5428</v>
      </c>
      <c r="AR19" s="2"/>
      <c r="AS19" s="2">
        <v>7915</v>
      </c>
      <c r="AT19" s="2"/>
      <c r="AU19" s="2"/>
      <c r="AV19" s="2"/>
      <c r="AW19" s="2"/>
      <c r="AX19" s="2"/>
      <c r="AY19" s="2">
        <v>0</v>
      </c>
      <c r="AZ19" s="2"/>
      <c r="BA19" s="13">
        <f t="shared" si="0"/>
        <v>14058348</v>
      </c>
      <c r="BB19" s="2"/>
      <c r="BC19" s="13">
        <f>+'St of Act-Rev'!AG20-BA19</f>
        <v>1751358</v>
      </c>
      <c r="BD19" s="2"/>
      <c r="BE19" s="2">
        <v>18920157</v>
      </c>
      <c r="BF19" s="2"/>
      <c r="BG19" s="13">
        <f t="shared" si="1"/>
        <v>20671515</v>
      </c>
      <c r="BI19" s="13">
        <f>+'St of Net Assets'!AA18-BG19</f>
        <v>0</v>
      </c>
    </row>
    <row r="20" spans="1:61">
      <c r="A20" s="13" t="s">
        <v>388</v>
      </c>
      <c r="B20" s="19"/>
      <c r="C20" s="19" t="s">
        <v>159</v>
      </c>
      <c r="E20" s="19">
        <v>50880</v>
      </c>
      <c r="G20" s="2">
        <v>495862</v>
      </c>
      <c r="H20" s="2"/>
      <c r="I20" s="2">
        <v>0</v>
      </c>
      <c r="J20" s="2"/>
      <c r="K20" s="2">
        <v>21835399</v>
      </c>
      <c r="L20" s="2"/>
      <c r="M20" s="2">
        <v>0</v>
      </c>
      <c r="N20" s="2"/>
      <c r="O20" s="2">
        <v>1422749</v>
      </c>
      <c r="P20" s="2"/>
      <c r="Q20" s="2">
        <v>2477000</v>
      </c>
      <c r="R20" s="2"/>
      <c r="S20" s="2">
        <v>97081</v>
      </c>
      <c r="T20" s="2"/>
      <c r="U20" s="2">
        <v>2803275</v>
      </c>
      <c r="V20" s="2"/>
      <c r="W20" s="2">
        <v>1146808</v>
      </c>
      <c r="X20" s="2"/>
      <c r="Y20" s="2">
        <v>72779</v>
      </c>
      <c r="Z20" s="2"/>
      <c r="AA20" s="2">
        <v>5353989</v>
      </c>
      <c r="AB20" s="2"/>
      <c r="AC20" s="13" t="s">
        <v>322</v>
      </c>
      <c r="AD20" s="19"/>
      <c r="AE20" s="19" t="s">
        <v>159</v>
      </c>
      <c r="AF20" s="19"/>
      <c r="AG20" s="2">
        <v>47932</v>
      </c>
      <c r="AH20" s="2"/>
      <c r="AI20" s="2">
        <v>3157421</v>
      </c>
      <c r="AJ20" s="2"/>
      <c r="AK20" s="2"/>
      <c r="AL20" s="2"/>
      <c r="AM20" s="2">
        <v>0</v>
      </c>
      <c r="AN20" s="2"/>
      <c r="AO20" s="2">
        <v>101971</v>
      </c>
      <c r="AP20" s="2"/>
      <c r="AQ20" s="2">
        <v>338883</v>
      </c>
      <c r="AR20" s="2"/>
      <c r="AS20" s="2">
        <v>112300</v>
      </c>
      <c r="AT20" s="2"/>
      <c r="AU20" s="2"/>
      <c r="AV20" s="2"/>
      <c r="AW20" s="2"/>
      <c r="AX20" s="2"/>
      <c r="AY20" s="2">
        <v>313110</v>
      </c>
      <c r="AZ20" s="2"/>
      <c r="BA20" s="13">
        <f t="shared" si="0"/>
        <v>39776559</v>
      </c>
      <c r="BB20" s="2"/>
      <c r="BC20" s="13">
        <f>+'St of Act-Rev'!AG21-BA20</f>
        <v>2267601</v>
      </c>
      <c r="BD20" s="2"/>
      <c r="BE20" s="2">
        <v>48806539</v>
      </c>
      <c r="BF20" s="2"/>
      <c r="BG20" s="13">
        <f t="shared" si="1"/>
        <v>51074140</v>
      </c>
      <c r="BI20" s="13">
        <f>+'St of Net Assets'!AA19-BG20</f>
        <v>0</v>
      </c>
    </row>
    <row r="21" spans="1:61" hidden="1">
      <c r="A21" s="17" t="s">
        <v>396</v>
      </c>
      <c r="B21" s="60"/>
      <c r="C21" s="60" t="s">
        <v>282</v>
      </c>
      <c r="D21" s="65"/>
      <c r="E21" s="60">
        <v>63511</v>
      </c>
      <c r="F21" s="65"/>
      <c r="G21" s="13">
        <v>0</v>
      </c>
      <c r="H21" s="13"/>
      <c r="I21" s="13">
        <v>0</v>
      </c>
      <c r="J21" s="13"/>
      <c r="K21" s="13">
        <v>0</v>
      </c>
      <c r="L21" s="13"/>
      <c r="M21" s="13">
        <v>0</v>
      </c>
      <c r="N21" s="13"/>
      <c r="O21" s="13">
        <v>0</v>
      </c>
      <c r="P21" s="13"/>
      <c r="Q21" s="13"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 t="s">
        <v>396</v>
      </c>
      <c r="AD21" s="60"/>
      <c r="AE21" s="60" t="s">
        <v>282</v>
      </c>
      <c r="AF21" s="60"/>
      <c r="AG21" s="13">
        <v>0</v>
      </c>
      <c r="AH21" s="13"/>
      <c r="AI21" s="13">
        <v>0</v>
      </c>
      <c r="AJ21" s="13"/>
      <c r="AK21" s="13"/>
      <c r="AL21" s="13"/>
      <c r="AM21" s="13">
        <v>0</v>
      </c>
      <c r="AN21" s="13"/>
      <c r="AO21" s="13">
        <v>0</v>
      </c>
      <c r="AP21" s="13"/>
      <c r="AQ21" s="13">
        <v>0</v>
      </c>
      <c r="AR21" s="13"/>
      <c r="AS21" s="13">
        <v>0</v>
      </c>
      <c r="AT21" s="13"/>
      <c r="AU21" s="13"/>
      <c r="AV21" s="13"/>
      <c r="AW21" s="13"/>
      <c r="AX21" s="13"/>
      <c r="AY21" s="13">
        <v>0</v>
      </c>
      <c r="AZ21" s="13"/>
      <c r="BA21" s="13">
        <f t="shared" si="0"/>
        <v>0</v>
      </c>
      <c r="BB21" s="13"/>
      <c r="BC21" s="13">
        <f>+'St of Act-Rev'!AG22-BA21</f>
        <v>0</v>
      </c>
      <c r="BD21" s="13"/>
      <c r="BE21" s="13">
        <v>0</v>
      </c>
      <c r="BF21" s="13"/>
      <c r="BG21" s="13">
        <f t="shared" si="1"/>
        <v>0</v>
      </c>
      <c r="BI21" s="13">
        <f>+'St of Net Assets'!AA20-BG21</f>
        <v>0</v>
      </c>
    </row>
    <row r="22" spans="1:61">
      <c r="A22" s="13" t="s">
        <v>392</v>
      </c>
      <c r="B22" s="19"/>
      <c r="C22" s="19" t="s">
        <v>175</v>
      </c>
      <c r="E22" s="19">
        <v>50906</v>
      </c>
      <c r="G22" s="2">
        <v>485430</v>
      </c>
      <c r="H22" s="2"/>
      <c r="I22" s="2">
        <v>181372</v>
      </c>
      <c r="J22" s="2"/>
      <c r="K22" s="2">
        <v>2819095</v>
      </c>
      <c r="L22" s="2"/>
      <c r="M22" s="2">
        <v>116622</v>
      </c>
      <c r="N22" s="2"/>
      <c r="O22" s="2">
        <v>347834</v>
      </c>
      <c r="P22" s="2"/>
      <c r="Q22" s="2">
        <v>548623</v>
      </c>
      <c r="R22" s="2"/>
      <c r="S22" s="2">
        <v>22162</v>
      </c>
      <c r="T22" s="2"/>
      <c r="U22" s="2">
        <v>867327</v>
      </c>
      <c r="V22" s="2"/>
      <c r="W22" s="2">
        <v>314184</v>
      </c>
      <c r="X22" s="2"/>
      <c r="Y22" s="2">
        <v>0</v>
      </c>
      <c r="Z22" s="2"/>
      <c r="AA22" s="2">
        <v>732872</v>
      </c>
      <c r="AB22" s="2"/>
      <c r="AC22" s="13" t="s">
        <v>271</v>
      </c>
      <c r="AD22" s="19"/>
      <c r="AE22" s="19" t="s">
        <v>175</v>
      </c>
      <c r="AF22" s="19"/>
      <c r="AG22" s="2">
        <v>0</v>
      </c>
      <c r="AH22" s="2"/>
      <c r="AI22" s="2">
        <v>69540</v>
      </c>
      <c r="AJ22" s="2"/>
      <c r="AK22" s="2"/>
      <c r="AL22" s="2"/>
      <c r="AM22" s="2">
        <v>200896</v>
      </c>
      <c r="AN22" s="2"/>
      <c r="AO22" s="2">
        <v>175</v>
      </c>
      <c r="AP22" s="2"/>
      <c r="AQ22" s="2">
        <v>17131</v>
      </c>
      <c r="AR22" s="2"/>
      <c r="AS22" s="2">
        <v>0</v>
      </c>
      <c r="AT22" s="2"/>
      <c r="AU22" s="2"/>
      <c r="AV22" s="2"/>
      <c r="AW22" s="2"/>
      <c r="AX22" s="2"/>
      <c r="AY22" s="2">
        <v>0</v>
      </c>
      <c r="AZ22" s="2"/>
      <c r="BA22" s="13">
        <f t="shared" si="0"/>
        <v>6723263</v>
      </c>
      <c r="BB22" s="2"/>
      <c r="BC22" s="13">
        <f>+'St of Act-Rev'!AG23-BA22</f>
        <v>504304</v>
      </c>
      <c r="BD22" s="2"/>
      <c r="BE22" s="2">
        <v>11138667</v>
      </c>
      <c r="BF22" s="2"/>
      <c r="BG22" s="13">
        <f t="shared" si="1"/>
        <v>11642971</v>
      </c>
      <c r="BI22" s="13">
        <f>+'St of Net Assets'!AA21-BG22</f>
        <v>0</v>
      </c>
    </row>
    <row r="23" spans="1:61">
      <c r="A23" s="13" t="s">
        <v>328</v>
      </c>
      <c r="B23" s="19"/>
      <c r="C23" s="19" t="s">
        <v>272</v>
      </c>
      <c r="E23" s="19">
        <v>65227</v>
      </c>
      <c r="G23" s="2">
        <v>553998</v>
      </c>
      <c r="H23" s="2"/>
      <c r="I23" s="2">
        <v>78550</v>
      </c>
      <c r="J23" s="2"/>
      <c r="K23" s="2">
        <v>1634590</v>
      </c>
      <c r="L23" s="2"/>
      <c r="M23" s="2">
        <v>0</v>
      </c>
      <c r="N23" s="2"/>
      <c r="O23" s="2">
        <v>177599</v>
      </c>
      <c r="P23" s="2"/>
      <c r="Q23" s="2">
        <v>217526</v>
      </c>
      <c r="R23" s="2"/>
      <c r="S23" s="2">
        <v>43779</v>
      </c>
      <c r="T23" s="2"/>
      <c r="U23" s="2">
        <v>220593</v>
      </c>
      <c r="V23" s="2"/>
      <c r="W23" s="2">
        <v>172200</v>
      </c>
      <c r="X23" s="2"/>
      <c r="Y23" s="2">
        <v>39843</v>
      </c>
      <c r="Z23" s="2"/>
      <c r="AA23" s="2">
        <v>382243</v>
      </c>
      <c r="AB23" s="2"/>
      <c r="AC23" s="13" t="s">
        <v>328</v>
      </c>
      <c r="AD23" s="19"/>
      <c r="AE23" s="19" t="s">
        <v>272</v>
      </c>
      <c r="AF23" s="19"/>
      <c r="AG23" s="2">
        <v>1414</v>
      </c>
      <c r="AH23" s="2"/>
      <c r="AI23" s="2">
        <v>15475</v>
      </c>
      <c r="AJ23" s="2"/>
      <c r="AK23" s="2"/>
      <c r="AL23" s="2"/>
      <c r="AM23" s="2">
        <v>106512</v>
      </c>
      <c r="AN23" s="2"/>
      <c r="AO23" s="2">
        <v>0</v>
      </c>
      <c r="AP23" s="2"/>
      <c r="AQ23" s="2">
        <v>15283</v>
      </c>
      <c r="AR23" s="2"/>
      <c r="AS23" s="2">
        <v>12821</v>
      </c>
      <c r="AT23" s="2"/>
      <c r="AU23" s="2"/>
      <c r="AV23" s="2"/>
      <c r="AW23" s="2"/>
      <c r="AX23" s="2"/>
      <c r="AY23" s="2">
        <v>0</v>
      </c>
      <c r="AZ23" s="2"/>
      <c r="BA23" s="13">
        <f t="shared" si="0"/>
        <v>3672426</v>
      </c>
      <c r="BB23" s="2"/>
      <c r="BC23" s="13">
        <f>+'St of Act-Rev'!AG24-BA23</f>
        <v>214973</v>
      </c>
      <c r="BD23" s="2"/>
      <c r="BE23" s="2">
        <v>1171274</v>
      </c>
      <c r="BF23" s="2"/>
      <c r="BG23" s="13">
        <f t="shared" si="1"/>
        <v>1386247</v>
      </c>
      <c r="BI23" s="13">
        <f>+'St of Net Assets'!AA22-BG23</f>
        <v>0</v>
      </c>
    </row>
    <row r="24" spans="1:61">
      <c r="A24" s="13" t="s">
        <v>403</v>
      </c>
      <c r="B24" s="60"/>
      <c r="C24" s="60" t="s">
        <v>207</v>
      </c>
      <c r="D24" s="65"/>
      <c r="E24" s="60">
        <v>51201</v>
      </c>
      <c r="F24" s="65"/>
      <c r="G24" s="13">
        <v>302251</v>
      </c>
      <c r="H24" s="13"/>
      <c r="I24" s="13">
        <v>529134</v>
      </c>
      <c r="J24" s="13"/>
      <c r="K24" s="13">
        <v>6846906</v>
      </c>
      <c r="L24" s="13"/>
      <c r="M24" s="13">
        <v>1990589</v>
      </c>
      <c r="N24" s="13"/>
      <c r="O24" s="13">
        <v>651089</v>
      </c>
      <c r="P24" s="13"/>
      <c r="Q24" s="13">
        <v>1339100</v>
      </c>
      <c r="R24" s="13"/>
      <c r="S24" s="13">
        <v>24103</v>
      </c>
      <c r="T24" s="13"/>
      <c r="U24" s="13">
        <v>1050531</v>
      </c>
      <c r="V24" s="13"/>
      <c r="W24" s="13">
        <v>443022</v>
      </c>
      <c r="X24" s="13"/>
      <c r="Y24" s="13">
        <v>520178</v>
      </c>
      <c r="Z24" s="13"/>
      <c r="AA24" s="13">
        <v>1926907</v>
      </c>
      <c r="AB24" s="13"/>
      <c r="AC24" s="13" t="s">
        <v>403</v>
      </c>
      <c r="AD24" s="60"/>
      <c r="AE24" s="60" t="s">
        <v>207</v>
      </c>
      <c r="AF24" s="60"/>
      <c r="AG24" s="13">
        <v>21385</v>
      </c>
      <c r="AH24" s="13"/>
      <c r="AI24" s="13">
        <v>1750354</v>
      </c>
      <c r="AJ24" s="13"/>
      <c r="AK24" s="13"/>
      <c r="AL24" s="13"/>
      <c r="AM24" s="13">
        <v>263679</v>
      </c>
      <c r="AN24" s="13"/>
      <c r="AO24" s="13">
        <v>32483</v>
      </c>
      <c r="AP24" s="13"/>
      <c r="AQ24" s="13">
        <v>89779</v>
      </c>
      <c r="AR24" s="13"/>
      <c r="AS24" s="13">
        <v>1391564</v>
      </c>
      <c r="AT24" s="13"/>
      <c r="AU24" s="13"/>
      <c r="AV24" s="13"/>
      <c r="AW24" s="13"/>
      <c r="AX24" s="13"/>
      <c r="AY24" s="13">
        <v>0</v>
      </c>
      <c r="AZ24" s="13"/>
      <c r="BA24" s="13">
        <f t="shared" si="0"/>
        <v>19173054</v>
      </c>
      <c r="BB24" s="13"/>
      <c r="BC24" s="13">
        <f>+'St of Act-Rev'!AG25-BA24</f>
        <v>-458565</v>
      </c>
      <c r="BD24" s="13"/>
      <c r="BE24" s="13">
        <v>13116832</v>
      </c>
      <c r="BF24" s="13"/>
      <c r="BG24" s="13">
        <f t="shared" si="1"/>
        <v>12658267</v>
      </c>
      <c r="BI24" s="13">
        <f>+'St of Net Assets'!AA23-BG24</f>
        <v>0</v>
      </c>
    </row>
    <row r="25" spans="1:61">
      <c r="A25" s="2" t="s">
        <v>325</v>
      </c>
      <c r="B25" s="19"/>
      <c r="C25" s="19" t="s">
        <v>177</v>
      </c>
      <c r="E25" s="19">
        <v>50922</v>
      </c>
      <c r="G25" s="2">
        <v>699668</v>
      </c>
      <c r="H25" s="2"/>
      <c r="I25" s="2">
        <v>244370</v>
      </c>
      <c r="J25" s="2"/>
      <c r="K25" s="2">
        <v>5021950</v>
      </c>
      <c r="L25" s="2"/>
      <c r="M25" s="2">
        <v>1642377</v>
      </c>
      <c r="N25" s="2"/>
      <c r="O25" s="2">
        <v>628561</v>
      </c>
      <c r="P25" s="2"/>
      <c r="Q25" s="2">
        <v>1424718</v>
      </c>
      <c r="R25" s="2"/>
      <c r="S25" s="2">
        <v>35825</v>
      </c>
      <c r="T25" s="2"/>
      <c r="U25" s="2">
        <v>1909672</v>
      </c>
      <c r="V25" s="2"/>
      <c r="W25" s="2">
        <v>816142</v>
      </c>
      <c r="X25" s="2"/>
      <c r="Y25" s="2">
        <v>795797</v>
      </c>
      <c r="Z25" s="2"/>
      <c r="AA25" s="2">
        <v>2011536</v>
      </c>
      <c r="AB25" s="2"/>
      <c r="AC25" s="2" t="s">
        <v>325</v>
      </c>
      <c r="AD25" s="19"/>
      <c r="AE25" s="19" t="s">
        <v>177</v>
      </c>
      <c r="AF25" s="19"/>
      <c r="AG25" s="2">
        <v>23635</v>
      </c>
      <c r="AH25" s="2"/>
      <c r="AI25" s="2">
        <v>333472</v>
      </c>
      <c r="AJ25" s="2"/>
      <c r="AK25" s="2"/>
      <c r="AL25" s="2"/>
      <c r="AM25" s="2">
        <v>203012</v>
      </c>
      <c r="AN25" s="2"/>
      <c r="AO25" s="2">
        <v>1760</v>
      </c>
      <c r="AP25" s="2"/>
      <c r="AQ25" s="2">
        <v>75829</v>
      </c>
      <c r="AR25" s="2"/>
      <c r="AS25" s="2">
        <v>0</v>
      </c>
      <c r="AT25" s="2"/>
      <c r="AU25" s="2"/>
      <c r="AV25" s="2"/>
      <c r="AW25" s="2"/>
      <c r="AX25" s="2"/>
      <c r="AY25" s="2">
        <v>2042014</v>
      </c>
      <c r="AZ25" s="2"/>
      <c r="BA25" s="13">
        <f t="shared" si="0"/>
        <v>17910338</v>
      </c>
      <c r="BB25" s="2"/>
      <c r="BC25" s="13">
        <f>+'St of Act-Rev'!AG26-BA25</f>
        <v>378694</v>
      </c>
      <c r="BD25" s="2"/>
      <c r="BE25" s="2">
        <v>31063299</v>
      </c>
      <c r="BF25" s="2"/>
      <c r="BG25" s="13">
        <f t="shared" si="1"/>
        <v>31441993</v>
      </c>
      <c r="BI25" s="13">
        <f>+'St of Net Assets'!AA24-BG25</f>
        <v>0</v>
      </c>
    </row>
    <row r="26" spans="1:61">
      <c r="A26" s="2" t="s">
        <v>324</v>
      </c>
      <c r="B26" s="19"/>
      <c r="C26" s="19" t="s">
        <v>181</v>
      </c>
      <c r="E26" s="19">
        <v>50989</v>
      </c>
      <c r="G26" s="2">
        <v>1154114</v>
      </c>
      <c r="H26" s="2"/>
      <c r="I26" s="2">
        <v>0</v>
      </c>
      <c r="J26" s="2"/>
      <c r="K26" s="2">
        <v>6180692</v>
      </c>
      <c r="L26" s="2"/>
      <c r="M26" s="2">
        <v>761656</v>
      </c>
      <c r="N26" s="2"/>
      <c r="O26" s="2">
        <v>838368</v>
      </c>
      <c r="P26" s="2"/>
      <c r="Q26" s="2">
        <v>1112697</v>
      </c>
      <c r="R26" s="2"/>
      <c r="S26" s="2">
        <v>136278</v>
      </c>
      <c r="T26" s="2"/>
      <c r="U26" s="2">
        <v>1222219</v>
      </c>
      <c r="V26" s="2"/>
      <c r="W26" s="2">
        <v>702813</v>
      </c>
      <c r="X26" s="2"/>
      <c r="Y26" s="2">
        <v>0</v>
      </c>
      <c r="Z26" s="2"/>
      <c r="AA26" s="2">
        <v>1515378</v>
      </c>
      <c r="AB26" s="2"/>
      <c r="AC26" s="2" t="s">
        <v>324</v>
      </c>
      <c r="AD26" s="19"/>
      <c r="AE26" s="19" t="s">
        <v>181</v>
      </c>
      <c r="AF26" s="19"/>
      <c r="AG26" s="2">
        <v>23756</v>
      </c>
      <c r="AH26" s="2"/>
      <c r="AI26" s="2">
        <v>895241</v>
      </c>
      <c r="AJ26" s="2"/>
      <c r="AK26" s="2"/>
      <c r="AL26" s="2"/>
      <c r="AM26" s="2">
        <v>210396</v>
      </c>
      <c r="AN26" s="2"/>
      <c r="AO26" s="2">
        <v>16283</v>
      </c>
      <c r="AP26" s="2"/>
      <c r="AQ26" s="2">
        <v>36440</v>
      </c>
      <c r="AR26" s="2"/>
      <c r="AS26" s="2">
        <v>505</v>
      </c>
      <c r="AT26" s="2"/>
      <c r="AU26" s="2"/>
      <c r="AV26" s="2"/>
      <c r="AW26" s="2"/>
      <c r="AX26" s="2"/>
      <c r="AY26" s="2">
        <v>0</v>
      </c>
      <c r="AZ26" s="2"/>
      <c r="BA26" s="13">
        <f t="shared" si="0"/>
        <v>14806836</v>
      </c>
      <c r="BB26" s="2"/>
      <c r="BC26" s="13">
        <f>+'St of Act-Rev'!AG27-BA26</f>
        <v>3161943</v>
      </c>
      <c r="BD26" s="2"/>
      <c r="BE26" s="2">
        <v>25500963</v>
      </c>
      <c r="BF26" s="2"/>
      <c r="BG26" s="13">
        <f t="shared" si="1"/>
        <v>28662906</v>
      </c>
      <c r="BI26" s="13">
        <f>+'St of Net Assets'!AA25-BG26</f>
        <v>0</v>
      </c>
    </row>
    <row r="27" spans="1:61">
      <c r="A27" s="2" t="s">
        <v>326</v>
      </c>
      <c r="B27" s="19"/>
      <c r="C27" s="19" t="s">
        <v>186</v>
      </c>
      <c r="E27" s="19">
        <v>51003</v>
      </c>
      <c r="G27" s="2">
        <v>3535677</v>
      </c>
      <c r="H27" s="2"/>
      <c r="I27" s="2">
        <v>1306499</v>
      </c>
      <c r="J27" s="2"/>
      <c r="K27" s="2">
        <v>5969912</v>
      </c>
      <c r="L27" s="2"/>
      <c r="M27" s="2">
        <v>770313</v>
      </c>
      <c r="N27" s="2"/>
      <c r="O27" s="2">
        <v>824068</v>
      </c>
      <c r="P27" s="2"/>
      <c r="Q27" s="2">
        <v>478889</v>
      </c>
      <c r="R27" s="2"/>
      <c r="S27" s="2">
        <v>23932</v>
      </c>
      <c r="T27" s="2"/>
      <c r="U27" s="2">
        <v>2931610</v>
      </c>
      <c r="V27" s="2"/>
      <c r="W27" s="2">
        <v>767886</v>
      </c>
      <c r="X27" s="2"/>
      <c r="Y27" s="2">
        <v>158428</v>
      </c>
      <c r="Z27" s="2"/>
      <c r="AA27" s="2">
        <v>2796246</v>
      </c>
      <c r="AB27" s="2"/>
      <c r="AC27" s="2" t="s">
        <v>326</v>
      </c>
      <c r="AD27" s="19"/>
      <c r="AE27" s="19" t="s">
        <v>186</v>
      </c>
      <c r="AF27" s="19"/>
      <c r="AG27" s="2">
        <v>46312</v>
      </c>
      <c r="AH27" s="2"/>
      <c r="AI27" s="2">
        <v>531257</v>
      </c>
      <c r="AJ27" s="2"/>
      <c r="AK27" s="2"/>
      <c r="AL27" s="2"/>
      <c r="AM27" s="2">
        <v>0</v>
      </c>
      <c r="AN27" s="2"/>
      <c r="AO27" s="2">
        <v>369484</v>
      </c>
      <c r="AP27" s="2"/>
      <c r="AQ27" s="2">
        <v>30646</v>
      </c>
      <c r="AR27" s="2"/>
      <c r="AS27" s="2">
        <v>25559</v>
      </c>
      <c r="AT27" s="2"/>
      <c r="AU27" s="2"/>
      <c r="AV27" s="2"/>
      <c r="AW27" s="2"/>
      <c r="AX27" s="2"/>
      <c r="AY27" s="2">
        <v>3268745</v>
      </c>
      <c r="AZ27" s="2"/>
      <c r="BA27" s="13">
        <f t="shared" si="0"/>
        <v>23835463</v>
      </c>
      <c r="BB27" s="2"/>
      <c r="BC27" s="13">
        <f>+'St of Act-Rev'!AG28-BA27</f>
        <v>3204158</v>
      </c>
      <c r="BD27" s="2"/>
      <c r="BE27" s="2">
        <v>39750530</v>
      </c>
      <c r="BF27" s="2"/>
      <c r="BG27" s="13">
        <f t="shared" si="1"/>
        <v>42954688</v>
      </c>
      <c r="BI27" s="13">
        <f>+'St of Net Assets'!AA26-BG27</f>
        <v>0</v>
      </c>
    </row>
    <row r="28" spans="1:61">
      <c r="A28" s="13" t="s">
        <v>327</v>
      </c>
      <c r="B28" s="60"/>
      <c r="C28" s="60" t="s">
        <v>183</v>
      </c>
      <c r="D28" s="65"/>
      <c r="E28" s="60">
        <v>51029</v>
      </c>
      <c r="F28" s="65"/>
      <c r="G28" s="13">
        <v>860653</v>
      </c>
      <c r="H28" s="13"/>
      <c r="I28" s="13">
        <v>512040</v>
      </c>
      <c r="J28" s="13"/>
      <c r="K28" s="13">
        <v>5846455</v>
      </c>
      <c r="L28" s="13"/>
      <c r="M28" s="13">
        <v>3300205</v>
      </c>
      <c r="N28" s="13"/>
      <c r="O28" s="13">
        <v>1112927</v>
      </c>
      <c r="P28" s="13"/>
      <c r="Q28" s="13">
        <v>229881</v>
      </c>
      <c r="R28" s="13"/>
      <c r="S28" s="13">
        <v>65308</v>
      </c>
      <c r="T28" s="13"/>
      <c r="U28" s="13">
        <v>2002369</v>
      </c>
      <c r="V28" s="13"/>
      <c r="W28" s="13">
        <v>348777</v>
      </c>
      <c r="X28" s="13"/>
      <c r="Y28" s="13">
        <v>233000</v>
      </c>
      <c r="Z28" s="13"/>
      <c r="AA28" s="13">
        <v>1792439</v>
      </c>
      <c r="AB28" s="13"/>
      <c r="AC28" s="13" t="s">
        <v>327</v>
      </c>
      <c r="AD28" s="60"/>
      <c r="AE28" s="60" t="s">
        <v>183</v>
      </c>
      <c r="AF28" s="60"/>
      <c r="AG28" s="13">
        <v>19820</v>
      </c>
      <c r="AH28" s="13"/>
      <c r="AI28" s="13">
        <v>471570</v>
      </c>
      <c r="AJ28" s="13"/>
      <c r="AK28" s="13"/>
      <c r="AL28" s="13"/>
      <c r="AM28" s="13">
        <v>303516</v>
      </c>
      <c r="AN28" s="13"/>
      <c r="AO28" s="13">
        <v>2231</v>
      </c>
      <c r="AP28" s="13"/>
      <c r="AQ28" s="13">
        <v>0</v>
      </c>
      <c r="AR28" s="13"/>
      <c r="AS28" s="13">
        <v>78676</v>
      </c>
      <c r="AT28" s="13"/>
      <c r="AU28" s="13"/>
      <c r="AV28" s="13"/>
      <c r="AW28" s="13"/>
      <c r="AX28" s="13"/>
      <c r="AY28" s="13">
        <v>0</v>
      </c>
      <c r="AZ28" s="13"/>
      <c r="BA28" s="13">
        <f t="shared" si="0"/>
        <v>17179867</v>
      </c>
      <c r="BB28" s="13"/>
      <c r="BC28" s="13">
        <f>+'St of Act-Rev'!AG29-BA28</f>
        <v>21933</v>
      </c>
      <c r="BD28" s="13"/>
      <c r="BE28" s="13">
        <v>5652029</v>
      </c>
      <c r="BF28" s="13"/>
      <c r="BG28" s="13">
        <f t="shared" si="1"/>
        <v>5673962</v>
      </c>
      <c r="BI28" s="13">
        <f>+'St of Net Assets'!AA27-BG28</f>
        <v>0</v>
      </c>
    </row>
    <row r="29" spans="1:61">
      <c r="A29" s="2" t="s">
        <v>329</v>
      </c>
      <c r="B29" s="19"/>
      <c r="C29" s="19" t="s">
        <v>275</v>
      </c>
      <c r="E29" s="19">
        <v>50963</v>
      </c>
      <c r="G29" s="2">
        <v>88938</v>
      </c>
      <c r="H29" s="2"/>
      <c r="I29" s="2">
        <v>0</v>
      </c>
      <c r="J29" s="2"/>
      <c r="K29" s="2">
        <v>8366911</v>
      </c>
      <c r="L29" s="2"/>
      <c r="M29" s="2">
        <v>1173925</v>
      </c>
      <c r="N29" s="2"/>
      <c r="O29" s="2">
        <v>1446233</v>
      </c>
      <c r="P29" s="2"/>
      <c r="Q29" s="2">
        <v>610370</v>
      </c>
      <c r="R29" s="2"/>
      <c r="S29" s="2">
        <v>55827</v>
      </c>
      <c r="T29" s="2"/>
      <c r="U29" s="2">
        <v>1400543</v>
      </c>
      <c r="V29" s="2"/>
      <c r="W29" s="2">
        <v>515707</v>
      </c>
      <c r="X29" s="2"/>
      <c r="Y29" s="2">
        <v>76746</v>
      </c>
      <c r="Z29" s="2"/>
      <c r="AA29" s="2">
        <v>1780116</v>
      </c>
      <c r="AB29" s="2"/>
      <c r="AC29" s="2" t="s">
        <v>329</v>
      </c>
      <c r="AD29" s="19"/>
      <c r="AE29" s="19" t="s">
        <v>275</v>
      </c>
      <c r="AF29" s="19"/>
      <c r="AG29" s="2">
        <v>21102</v>
      </c>
      <c r="AH29" s="2"/>
      <c r="AI29" s="2">
        <v>387863</v>
      </c>
      <c r="AJ29" s="2"/>
      <c r="AK29" s="2"/>
      <c r="AL29" s="2"/>
      <c r="AM29" s="2">
        <v>0</v>
      </c>
      <c r="AN29" s="2"/>
      <c r="AO29" s="2">
        <v>473301</v>
      </c>
      <c r="AP29" s="2"/>
      <c r="AQ29" s="2">
        <v>70902</v>
      </c>
      <c r="AR29" s="2"/>
      <c r="AS29" s="2">
        <v>0</v>
      </c>
      <c r="AT29" s="2"/>
      <c r="AU29" s="2"/>
      <c r="AV29" s="2"/>
      <c r="AW29" s="2"/>
      <c r="AX29" s="2"/>
      <c r="AY29" s="2">
        <v>24036</v>
      </c>
      <c r="AZ29" s="2"/>
      <c r="BA29" s="13">
        <f t="shared" si="0"/>
        <v>16492520</v>
      </c>
      <c r="BB29" s="2"/>
      <c r="BC29" s="13">
        <f>+'St of Act-Rev'!AG30-BA29</f>
        <v>971609</v>
      </c>
      <c r="BD29" s="2"/>
      <c r="BE29" s="2">
        <v>17705934</v>
      </c>
      <c r="BF29" s="2"/>
      <c r="BG29" s="13">
        <f t="shared" si="1"/>
        <v>18677543</v>
      </c>
      <c r="BI29" s="13">
        <f>+'St of Net Assets'!AA28-BG29</f>
        <v>0</v>
      </c>
    </row>
    <row r="30" spans="1:61">
      <c r="A30" s="2" t="s">
        <v>273</v>
      </c>
      <c r="B30" s="19"/>
      <c r="C30" s="19" t="s">
        <v>189</v>
      </c>
      <c r="E30" s="19">
        <v>62067</v>
      </c>
      <c r="G30" s="2">
        <v>54105</v>
      </c>
      <c r="H30" s="2"/>
      <c r="I30" s="2">
        <v>802724</v>
      </c>
      <c r="J30" s="2"/>
      <c r="K30" s="2">
        <v>4733003</v>
      </c>
      <c r="L30" s="2"/>
      <c r="M30" s="2">
        <v>426741</v>
      </c>
      <c r="N30" s="2"/>
      <c r="O30" s="2">
        <v>406603</v>
      </c>
      <c r="P30" s="2"/>
      <c r="Q30" s="2">
        <v>489992</v>
      </c>
      <c r="R30" s="2"/>
      <c r="S30" s="2">
        <v>75894</v>
      </c>
      <c r="T30" s="2"/>
      <c r="U30" s="2">
        <v>624427</v>
      </c>
      <c r="V30" s="2"/>
      <c r="W30" s="2">
        <v>379100</v>
      </c>
      <c r="X30" s="2"/>
      <c r="Y30" s="2">
        <v>59855</v>
      </c>
      <c r="Z30" s="2"/>
      <c r="AA30" s="2">
        <v>873613</v>
      </c>
      <c r="AB30" s="2"/>
      <c r="AC30" s="2" t="s">
        <v>273</v>
      </c>
      <c r="AD30" s="19"/>
      <c r="AE30" s="19" t="s">
        <v>189</v>
      </c>
      <c r="AF30" s="19"/>
      <c r="AG30" s="2">
        <v>27044</v>
      </c>
      <c r="AH30" s="2"/>
      <c r="AI30" s="2">
        <v>254067</v>
      </c>
      <c r="AJ30" s="2"/>
      <c r="AK30" s="2"/>
      <c r="AL30" s="2"/>
      <c r="AM30" s="2">
        <v>0</v>
      </c>
      <c r="AN30" s="2"/>
      <c r="AO30" s="2">
        <v>182262</v>
      </c>
      <c r="AP30" s="2"/>
      <c r="AQ30" s="2">
        <v>8409</v>
      </c>
      <c r="AR30" s="2"/>
      <c r="AS30" s="2">
        <v>67648</v>
      </c>
      <c r="AT30" s="2"/>
      <c r="AU30" s="2"/>
      <c r="AV30" s="2"/>
      <c r="AW30" s="2"/>
      <c r="AX30" s="2"/>
      <c r="AY30" s="2">
        <v>2006954</v>
      </c>
      <c r="AZ30" s="2"/>
      <c r="BA30" s="13">
        <f t="shared" si="0"/>
        <v>11472441</v>
      </c>
      <c r="BB30" s="2"/>
      <c r="BC30" s="13">
        <f>+'St of Act-Rev'!AG31-BA30</f>
        <v>231316</v>
      </c>
      <c r="BD30" s="2"/>
      <c r="BE30" s="2">
        <v>27120771</v>
      </c>
      <c r="BF30" s="2"/>
      <c r="BG30" s="13">
        <f t="shared" si="1"/>
        <v>27352087</v>
      </c>
      <c r="BI30" s="13">
        <f>+'St of Net Assets'!AA29-BG30</f>
        <v>0</v>
      </c>
    </row>
    <row r="31" spans="1:61">
      <c r="A31" s="13" t="s">
        <v>274</v>
      </c>
      <c r="B31" s="60"/>
      <c r="C31" s="60" t="s">
        <v>195</v>
      </c>
      <c r="D31" s="65"/>
      <c r="E31" s="60">
        <v>51060</v>
      </c>
      <c r="F31" s="65"/>
      <c r="G31" s="13">
        <v>296856</v>
      </c>
      <c r="H31" s="13"/>
      <c r="I31" s="13">
        <v>0</v>
      </c>
      <c r="J31" s="13"/>
      <c r="K31" s="13">
        <v>36669260</v>
      </c>
      <c r="L31" s="13"/>
      <c r="M31" s="13">
        <v>10191968</v>
      </c>
      <c r="N31" s="13"/>
      <c r="O31" s="13">
        <v>3169358</v>
      </c>
      <c r="P31" s="13"/>
      <c r="Q31" s="13">
        <v>4715642</v>
      </c>
      <c r="R31" s="13"/>
      <c r="S31" s="13">
        <v>273283</v>
      </c>
      <c r="T31" s="13"/>
      <c r="U31" s="13">
        <v>4562223</v>
      </c>
      <c r="V31" s="13"/>
      <c r="W31" s="13">
        <v>2135544</v>
      </c>
      <c r="X31" s="13"/>
      <c r="Y31" s="13">
        <v>1078216</v>
      </c>
      <c r="Z31" s="13"/>
      <c r="AA31" s="13">
        <v>9340637</v>
      </c>
      <c r="AB31" s="13"/>
      <c r="AC31" s="13" t="s">
        <v>274</v>
      </c>
      <c r="AD31" s="13"/>
      <c r="AE31" s="13" t="s">
        <v>195</v>
      </c>
      <c r="AF31" s="60"/>
      <c r="AG31" s="13">
        <v>409059</v>
      </c>
      <c r="AH31" s="13"/>
      <c r="AI31" s="13">
        <v>5858163</v>
      </c>
      <c r="AJ31" s="13"/>
      <c r="AK31" s="13"/>
      <c r="AL31" s="13"/>
      <c r="AM31" s="13">
        <v>0</v>
      </c>
      <c r="AN31" s="13"/>
      <c r="AO31" s="13">
        <v>1257912</v>
      </c>
      <c r="AP31" s="13"/>
      <c r="AQ31" s="13">
        <v>0</v>
      </c>
      <c r="AR31" s="13"/>
      <c r="AS31" s="13">
        <v>473173</v>
      </c>
      <c r="AT31" s="13"/>
      <c r="AU31" s="13"/>
      <c r="AV31" s="13"/>
      <c r="AW31" s="13"/>
      <c r="AX31" s="13"/>
      <c r="AY31" s="13">
        <v>0</v>
      </c>
      <c r="AZ31" s="13"/>
      <c r="BA31" s="13">
        <f t="shared" si="0"/>
        <v>80431294</v>
      </c>
      <c r="BB31" s="13"/>
      <c r="BC31" s="13">
        <f>+'St of Act-Rev'!AG32-BA31</f>
        <v>-4205243</v>
      </c>
      <c r="BD31" s="13"/>
      <c r="BE31" s="13">
        <v>139038932</v>
      </c>
      <c r="BF31" s="13"/>
      <c r="BG31" s="13">
        <f t="shared" si="1"/>
        <v>134833689</v>
      </c>
      <c r="BI31" s="13">
        <f>+'St of Net Assets'!AA30-BG31</f>
        <v>0</v>
      </c>
    </row>
    <row r="32" spans="1:61">
      <c r="A32" s="2" t="s">
        <v>330</v>
      </c>
      <c r="B32" s="19"/>
      <c r="C32" s="19" t="s">
        <v>193</v>
      </c>
      <c r="E32" s="19">
        <v>51045</v>
      </c>
      <c r="G32" s="2">
        <v>810285</v>
      </c>
      <c r="H32" s="2"/>
      <c r="I32" s="2">
        <v>0</v>
      </c>
      <c r="J32" s="2"/>
      <c r="K32" s="2">
        <v>8117701</v>
      </c>
      <c r="L32" s="2"/>
      <c r="M32" s="2">
        <v>0</v>
      </c>
      <c r="N32" s="2"/>
      <c r="O32" s="2">
        <v>1071880</v>
      </c>
      <c r="P32" s="2"/>
      <c r="Q32" s="2">
        <v>2099134</v>
      </c>
      <c r="R32" s="2"/>
      <c r="S32" s="2">
        <v>79400</v>
      </c>
      <c r="T32" s="2"/>
      <c r="U32" s="2">
        <v>699453</v>
      </c>
      <c r="V32" s="2"/>
      <c r="W32" s="2">
        <v>498024</v>
      </c>
      <c r="X32" s="2"/>
      <c r="Y32" s="2">
        <v>0</v>
      </c>
      <c r="Z32" s="2"/>
      <c r="AA32" s="2">
        <v>1319759</v>
      </c>
      <c r="AB32" s="2"/>
      <c r="AC32" s="2" t="s">
        <v>330</v>
      </c>
      <c r="AD32" s="19"/>
      <c r="AE32" s="19" t="s">
        <v>193</v>
      </c>
      <c r="AF32" s="19"/>
      <c r="AG32" s="2">
        <v>0</v>
      </c>
      <c r="AH32" s="2"/>
      <c r="AI32" s="2">
        <v>262310</v>
      </c>
      <c r="AJ32" s="2"/>
      <c r="AK32" s="2"/>
      <c r="AL32" s="2"/>
      <c r="AM32" s="2">
        <v>0</v>
      </c>
      <c r="AN32" s="2"/>
      <c r="AO32" s="2">
        <v>279036</v>
      </c>
      <c r="AP32" s="2"/>
      <c r="AQ32" s="2">
        <v>42464</v>
      </c>
      <c r="AR32" s="2"/>
      <c r="AS32" s="2">
        <v>1487</v>
      </c>
      <c r="AT32" s="2"/>
      <c r="AU32" s="2"/>
      <c r="AV32" s="2"/>
      <c r="AW32" s="2"/>
      <c r="AX32" s="2"/>
      <c r="AY32" s="2">
        <v>0</v>
      </c>
      <c r="AZ32" s="2"/>
      <c r="BA32" s="13">
        <f t="shared" si="0"/>
        <v>15280933</v>
      </c>
      <c r="BB32" s="2"/>
      <c r="BC32" s="13">
        <f>+'St of Act-Rev'!AG33-BA32</f>
        <v>2086998</v>
      </c>
      <c r="BD32" s="2"/>
      <c r="BE32" s="2">
        <v>13365980</v>
      </c>
      <c r="BF32" s="2"/>
      <c r="BG32" s="13">
        <f t="shared" si="1"/>
        <v>15452978</v>
      </c>
      <c r="BI32" s="13">
        <f>+'St of Net Assets'!AA31-BG32</f>
        <v>0</v>
      </c>
    </row>
    <row r="33" spans="1:61">
      <c r="A33" s="2" t="s">
        <v>276</v>
      </c>
      <c r="B33" s="19"/>
      <c r="C33" s="19" t="s">
        <v>200</v>
      </c>
      <c r="E33" s="19">
        <v>51128</v>
      </c>
      <c r="G33" s="2">
        <v>323145</v>
      </c>
      <c r="H33" s="2"/>
      <c r="I33" s="2">
        <v>219723</v>
      </c>
      <c r="J33" s="2"/>
      <c r="K33" s="2">
        <v>3013475</v>
      </c>
      <c r="L33" s="2"/>
      <c r="M33" s="2">
        <v>17392</v>
      </c>
      <c r="N33" s="2"/>
      <c r="O33" s="2">
        <v>199026</v>
      </c>
      <c r="P33" s="2"/>
      <c r="Q33" s="2">
        <v>314131</v>
      </c>
      <c r="R33" s="2"/>
      <c r="S33" s="2">
        <v>42948</v>
      </c>
      <c r="T33" s="2"/>
      <c r="U33" s="2">
        <v>241313</v>
      </c>
      <c r="V33" s="2"/>
      <c r="W33" s="2">
        <v>225245</v>
      </c>
      <c r="X33" s="2"/>
      <c r="Y33" s="2">
        <v>0</v>
      </c>
      <c r="Z33" s="2"/>
      <c r="AA33" s="2">
        <v>660944</v>
      </c>
      <c r="AB33" s="2"/>
      <c r="AC33" s="2" t="s">
        <v>276</v>
      </c>
      <c r="AD33" s="19"/>
      <c r="AE33" s="19" t="s">
        <v>200</v>
      </c>
      <c r="AF33" s="19"/>
      <c r="AG33" s="2">
        <v>0</v>
      </c>
      <c r="AH33" s="2"/>
      <c r="AI33" s="2">
        <v>17401</v>
      </c>
      <c r="AJ33" s="2"/>
      <c r="AK33" s="2"/>
      <c r="AL33" s="2"/>
      <c r="AM33" s="2">
        <v>199450</v>
      </c>
      <c r="AN33" s="2"/>
      <c r="AO33" s="2">
        <v>0</v>
      </c>
      <c r="AP33" s="2"/>
      <c r="AQ33" s="2">
        <v>0</v>
      </c>
      <c r="AR33" s="2"/>
      <c r="AS33" s="2">
        <v>1282</v>
      </c>
      <c r="AT33" s="2"/>
      <c r="AU33" s="2"/>
      <c r="AV33" s="2"/>
      <c r="AW33" s="2"/>
      <c r="AX33" s="2"/>
      <c r="AY33" s="2">
        <v>0</v>
      </c>
      <c r="AZ33" s="2"/>
      <c r="BA33" s="13">
        <f t="shared" si="0"/>
        <v>5475475</v>
      </c>
      <c r="BB33" s="2"/>
      <c r="BC33" s="13">
        <f>+'St of Act-Rev'!AG34-BA33</f>
        <v>-68975</v>
      </c>
      <c r="BD33" s="2"/>
      <c r="BE33" s="2">
        <v>2637288</v>
      </c>
      <c r="BF33" s="2"/>
      <c r="BG33" s="13">
        <f t="shared" si="1"/>
        <v>2568313</v>
      </c>
      <c r="BI33" s="13">
        <f>+'St of Net Assets'!AA32-BG33</f>
        <v>0</v>
      </c>
    </row>
    <row r="34" spans="1:61">
      <c r="A34" s="2" t="s">
        <v>331</v>
      </c>
      <c r="B34" s="19"/>
      <c r="C34" s="19" t="s">
        <v>202</v>
      </c>
      <c r="E34" s="19">
        <v>51144</v>
      </c>
      <c r="G34" s="2">
        <v>226318</v>
      </c>
      <c r="H34" s="2"/>
      <c r="I34" s="2">
        <v>0</v>
      </c>
      <c r="J34" s="2"/>
      <c r="K34" s="2">
        <v>5962920</v>
      </c>
      <c r="L34" s="2"/>
      <c r="M34" s="2">
        <v>1296673</v>
      </c>
      <c r="N34" s="2"/>
      <c r="O34" s="2">
        <v>592266</v>
      </c>
      <c r="P34" s="2"/>
      <c r="Q34" s="2">
        <v>780464</v>
      </c>
      <c r="R34" s="2"/>
      <c r="S34" s="2">
        <v>15603</v>
      </c>
      <c r="T34" s="2"/>
      <c r="U34" s="2">
        <v>898460</v>
      </c>
      <c r="V34" s="2"/>
      <c r="W34" s="2">
        <v>439686</v>
      </c>
      <c r="X34" s="2"/>
      <c r="Y34" s="2">
        <v>52663</v>
      </c>
      <c r="Z34" s="2"/>
      <c r="AA34" s="2">
        <v>1231914</v>
      </c>
      <c r="AB34" s="2"/>
      <c r="AC34" s="2" t="s">
        <v>331</v>
      </c>
      <c r="AD34" s="19"/>
      <c r="AE34" s="19" t="s">
        <v>202</v>
      </c>
      <c r="AF34" s="19"/>
      <c r="AG34" s="2">
        <v>0</v>
      </c>
      <c r="AH34" s="2"/>
      <c r="AI34" s="2">
        <v>15473</v>
      </c>
      <c r="AJ34" s="2"/>
      <c r="AK34" s="2"/>
      <c r="AL34" s="2"/>
      <c r="AM34" s="2">
        <v>0</v>
      </c>
      <c r="AN34" s="2"/>
      <c r="AO34" s="2">
        <v>241057</v>
      </c>
      <c r="AP34" s="2"/>
      <c r="AQ34" s="2">
        <v>38346</v>
      </c>
      <c r="AR34" s="2"/>
      <c r="AS34" s="2">
        <v>237404</v>
      </c>
      <c r="AT34" s="2"/>
      <c r="AU34" s="2"/>
      <c r="AV34" s="2"/>
      <c r="AW34" s="2"/>
      <c r="AX34" s="2"/>
      <c r="AY34" s="2">
        <v>0</v>
      </c>
      <c r="AZ34" s="2"/>
      <c r="BA34" s="13">
        <f t="shared" si="0"/>
        <v>12029247</v>
      </c>
      <c r="BB34" s="2"/>
      <c r="BC34" s="13">
        <f>+'St of Act-Rev'!AG35-BA34</f>
        <v>958084</v>
      </c>
      <c r="BD34" s="2"/>
      <c r="BE34" s="2">
        <v>30016437</v>
      </c>
      <c r="BF34" s="2"/>
      <c r="BG34" s="13">
        <f t="shared" si="1"/>
        <v>30974521</v>
      </c>
      <c r="BI34" s="13">
        <f>+'St of Net Assets'!AA33-BG34</f>
        <v>0</v>
      </c>
    </row>
    <row r="35" spans="1:61">
      <c r="A35" s="2" t="s">
        <v>278</v>
      </c>
      <c r="B35" s="19"/>
      <c r="C35" s="19" t="s">
        <v>205</v>
      </c>
      <c r="E35" s="19">
        <v>51185</v>
      </c>
      <c r="G35" s="2">
        <v>308068</v>
      </c>
      <c r="H35" s="2"/>
      <c r="I35" s="2">
        <v>0</v>
      </c>
      <c r="J35" s="2"/>
      <c r="K35" s="2">
        <v>5028898</v>
      </c>
      <c r="L35" s="2"/>
      <c r="M35" s="2">
        <v>1714799</v>
      </c>
      <c r="N35" s="2"/>
      <c r="O35" s="2">
        <v>630364</v>
      </c>
      <c r="P35" s="2"/>
      <c r="Q35" s="2">
        <v>117156</v>
      </c>
      <c r="R35" s="2"/>
      <c r="S35" s="2">
        <v>44321</v>
      </c>
      <c r="T35" s="2"/>
      <c r="U35" s="2">
        <v>1109178</v>
      </c>
      <c r="V35" s="2"/>
      <c r="W35" s="2">
        <v>488747</v>
      </c>
      <c r="X35" s="2"/>
      <c r="Y35" s="2">
        <v>0</v>
      </c>
      <c r="Z35" s="2"/>
      <c r="AA35" s="2">
        <v>710906</v>
      </c>
      <c r="AB35" s="2"/>
      <c r="AC35" s="19" t="s">
        <v>204</v>
      </c>
      <c r="AD35" s="19"/>
      <c r="AE35" s="19" t="s">
        <v>205</v>
      </c>
      <c r="AF35" s="19"/>
      <c r="AG35" s="2">
        <v>0</v>
      </c>
      <c r="AH35" s="2"/>
      <c r="AI35" s="2">
        <v>454781</v>
      </c>
      <c r="AJ35" s="2"/>
      <c r="AK35" s="2"/>
      <c r="AL35" s="2"/>
      <c r="AM35" s="2">
        <v>282183</v>
      </c>
      <c r="AN35" s="2"/>
      <c r="AO35" s="2">
        <v>790326</v>
      </c>
      <c r="AP35" s="2"/>
      <c r="AQ35" s="2">
        <v>59438</v>
      </c>
      <c r="AR35" s="2"/>
      <c r="AS35" s="2">
        <v>4686</v>
      </c>
      <c r="AT35" s="2"/>
      <c r="AU35" s="2"/>
      <c r="AV35" s="2"/>
      <c r="AW35" s="2"/>
      <c r="AX35" s="2"/>
      <c r="AY35" s="2">
        <v>0</v>
      </c>
      <c r="AZ35" s="2"/>
      <c r="BA35" s="13">
        <f t="shared" si="0"/>
        <v>11743851</v>
      </c>
      <c r="BB35" s="2"/>
      <c r="BC35" s="13">
        <f>+'St of Act-Rev'!AG36-BA35</f>
        <v>1242792</v>
      </c>
      <c r="BD35" s="2"/>
      <c r="BE35" s="2">
        <v>8455591</v>
      </c>
      <c r="BF35" s="2"/>
      <c r="BG35" s="13">
        <f t="shared" si="1"/>
        <v>9698383</v>
      </c>
      <c r="BI35" s="13">
        <f>+'St of Net Assets'!AA34-BG35</f>
        <v>0</v>
      </c>
    </row>
    <row r="36" spans="1:61" hidden="1">
      <c r="A36" s="69" t="s">
        <v>362</v>
      </c>
      <c r="B36" s="71"/>
      <c r="C36" s="71" t="s">
        <v>207</v>
      </c>
      <c r="D36" s="73"/>
      <c r="E36" s="71">
        <v>47977</v>
      </c>
      <c r="F36" s="73"/>
      <c r="G36" s="69">
        <v>0</v>
      </c>
      <c r="H36" s="69"/>
      <c r="I36" s="69">
        <v>0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71" t="s">
        <v>206</v>
      </c>
      <c r="AD36" s="71"/>
      <c r="AE36" s="71" t="s">
        <v>207</v>
      </c>
      <c r="AF36" s="71"/>
      <c r="AG36" s="69">
        <v>0</v>
      </c>
      <c r="AH36" s="69"/>
      <c r="AI36" s="69">
        <v>0</v>
      </c>
      <c r="AJ36" s="69"/>
      <c r="AK36" s="69"/>
      <c r="AL36" s="69"/>
      <c r="AM36" s="69">
        <v>0</v>
      </c>
      <c r="AN36" s="69"/>
      <c r="AO36" s="69"/>
      <c r="AP36" s="69"/>
      <c r="AQ36" s="69">
        <v>0</v>
      </c>
      <c r="AR36" s="69"/>
      <c r="AS36" s="69">
        <v>0</v>
      </c>
      <c r="AT36" s="69"/>
      <c r="AU36" s="69"/>
      <c r="AV36" s="69"/>
      <c r="AW36" s="69"/>
      <c r="AX36" s="69"/>
      <c r="AY36" s="69">
        <v>0</v>
      </c>
      <c r="AZ36" s="69"/>
      <c r="BA36" s="13">
        <f t="shared" si="0"/>
        <v>0</v>
      </c>
      <c r="BB36" s="69"/>
      <c r="BC36" s="13">
        <f>+'St of Act-Rev'!AG37-BA36</f>
        <v>0</v>
      </c>
      <c r="BD36" s="69"/>
      <c r="BE36" s="69">
        <v>0</v>
      </c>
      <c r="BF36" s="69"/>
      <c r="BG36" s="69">
        <f t="shared" si="1"/>
        <v>0</v>
      </c>
      <c r="BI36" s="13">
        <f>+'St of Net Assets'!AA35-BG36</f>
        <v>0</v>
      </c>
    </row>
    <row r="37" spans="1:61">
      <c r="A37" s="2" t="s">
        <v>280</v>
      </c>
      <c r="B37" s="19"/>
      <c r="C37" s="19" t="s">
        <v>154</v>
      </c>
      <c r="E37" s="19">
        <v>51227</v>
      </c>
      <c r="G37" s="2">
        <v>1832623</v>
      </c>
      <c r="H37" s="2"/>
      <c r="I37" s="2">
        <v>4203</v>
      </c>
      <c r="J37" s="2"/>
      <c r="K37" s="2">
        <v>10282640</v>
      </c>
      <c r="L37" s="2"/>
      <c r="M37" s="2">
        <v>1459835</v>
      </c>
      <c r="N37" s="2"/>
      <c r="O37" s="2">
        <v>1527388</v>
      </c>
      <c r="P37" s="2"/>
      <c r="Q37" s="2">
        <v>1856342</v>
      </c>
      <c r="R37" s="2"/>
      <c r="S37" s="2">
        <v>41298</v>
      </c>
      <c r="T37" s="2"/>
      <c r="U37" s="2">
        <v>1645989</v>
      </c>
      <c r="V37" s="2"/>
      <c r="W37" s="2">
        <v>731671</v>
      </c>
      <c r="X37" s="2"/>
      <c r="Y37" s="2">
        <v>157934</v>
      </c>
      <c r="Z37" s="2"/>
      <c r="AA37" s="2">
        <v>2846362</v>
      </c>
      <c r="AB37" s="2"/>
      <c r="AC37" s="2" t="s">
        <v>280</v>
      </c>
      <c r="AD37" s="19"/>
      <c r="AE37" s="19" t="s">
        <v>154</v>
      </c>
      <c r="AF37" s="19"/>
      <c r="AG37" s="2">
        <v>62537</v>
      </c>
      <c r="AH37" s="2"/>
      <c r="AI37" s="2">
        <v>426670</v>
      </c>
      <c r="AJ37" s="2"/>
      <c r="AK37" s="2"/>
      <c r="AL37" s="2"/>
      <c r="AM37" s="2">
        <v>0</v>
      </c>
      <c r="AN37" s="2"/>
      <c r="AO37" s="2">
        <v>436342</v>
      </c>
      <c r="AP37" s="2"/>
      <c r="AQ37" s="2">
        <v>306125</v>
      </c>
      <c r="AR37" s="2"/>
      <c r="AS37" s="2">
        <v>0</v>
      </c>
      <c r="AT37" s="2"/>
      <c r="AU37" s="2"/>
      <c r="AV37" s="2"/>
      <c r="AW37" s="2"/>
      <c r="AX37" s="2"/>
      <c r="AY37" s="2">
        <v>0</v>
      </c>
      <c r="AZ37" s="2"/>
      <c r="BA37" s="13">
        <f t="shared" si="0"/>
        <v>23617959</v>
      </c>
      <c r="BB37" s="2"/>
      <c r="BC37" s="13">
        <f>+'St of Act-Rev'!AG38-BA37</f>
        <v>-93200</v>
      </c>
      <c r="BD37" s="2"/>
      <c r="BE37" s="2">
        <v>18624367</v>
      </c>
      <c r="BF37" s="2"/>
      <c r="BG37" s="13">
        <f t="shared" si="1"/>
        <v>18531167</v>
      </c>
      <c r="BI37" s="13">
        <f>+'St of Net Assets'!AA36-BG37</f>
        <v>0</v>
      </c>
    </row>
    <row r="38" spans="1:61">
      <c r="A38" s="2" t="s">
        <v>283</v>
      </c>
      <c r="B38" s="19"/>
      <c r="C38" s="19" t="s">
        <v>214</v>
      </c>
      <c r="D38" s="96"/>
      <c r="E38" s="19">
        <v>51243</v>
      </c>
      <c r="F38" s="96"/>
      <c r="G38" s="2">
        <v>1373942</v>
      </c>
      <c r="H38" s="2"/>
      <c r="I38" s="2">
        <v>0</v>
      </c>
      <c r="J38" s="2"/>
      <c r="K38" s="2">
        <v>4121881</v>
      </c>
      <c r="L38" s="2"/>
      <c r="M38" s="2">
        <v>745474</v>
      </c>
      <c r="N38" s="2"/>
      <c r="O38" s="2">
        <v>1103966</v>
      </c>
      <c r="P38" s="2"/>
      <c r="Q38" s="2">
        <v>1502728</v>
      </c>
      <c r="R38" s="2"/>
      <c r="S38" s="2">
        <v>63907</v>
      </c>
      <c r="T38" s="2"/>
      <c r="U38" s="2">
        <v>853070</v>
      </c>
      <c r="V38" s="2"/>
      <c r="W38" s="2">
        <v>689081</v>
      </c>
      <c r="X38" s="2"/>
      <c r="Y38" s="2">
        <v>1201</v>
      </c>
      <c r="Z38" s="2"/>
      <c r="AA38" s="2">
        <v>1148488</v>
      </c>
      <c r="AB38" s="2"/>
      <c r="AC38" s="2" t="s">
        <v>283</v>
      </c>
      <c r="AD38" s="19"/>
      <c r="AE38" s="19" t="s">
        <v>214</v>
      </c>
      <c r="AF38" s="19"/>
      <c r="AG38" s="2">
        <v>45163</v>
      </c>
      <c r="AH38" s="2"/>
      <c r="AI38" s="2">
        <v>198788</v>
      </c>
      <c r="AJ38" s="2"/>
      <c r="AK38" s="2"/>
      <c r="AL38" s="2"/>
      <c r="AM38" s="2">
        <v>317823</v>
      </c>
      <c r="AN38" s="2"/>
      <c r="AO38" s="2">
        <v>15042</v>
      </c>
      <c r="AP38" s="2"/>
      <c r="AQ38" s="2">
        <v>73690</v>
      </c>
      <c r="AR38" s="2"/>
      <c r="AS38" s="2">
        <v>523855</v>
      </c>
      <c r="AT38" s="2"/>
      <c r="AU38" s="2"/>
      <c r="AV38" s="2"/>
      <c r="AW38" s="2"/>
      <c r="AX38" s="2"/>
      <c r="AY38" s="2">
        <v>0</v>
      </c>
      <c r="AZ38" s="2"/>
      <c r="BA38" s="13">
        <f t="shared" si="0"/>
        <v>12778099</v>
      </c>
      <c r="BB38" s="2"/>
      <c r="BC38" s="13">
        <f>+'St of Act-Rev'!AG39-BA38</f>
        <v>299197</v>
      </c>
      <c r="BD38" s="2"/>
      <c r="BE38" s="2">
        <v>29389950</v>
      </c>
      <c r="BF38" s="2"/>
      <c r="BG38" s="13">
        <f t="shared" si="1"/>
        <v>29689147</v>
      </c>
      <c r="BI38" s="13">
        <f>+'St of Net Assets'!AA37-BG38</f>
        <v>0</v>
      </c>
    </row>
    <row r="39" spans="1:61">
      <c r="A39" s="2" t="s">
        <v>332</v>
      </c>
      <c r="B39" s="19"/>
      <c r="C39" s="19" t="s">
        <v>230</v>
      </c>
      <c r="D39" s="96"/>
      <c r="E39" s="19">
        <v>51391</v>
      </c>
      <c r="F39" s="96"/>
      <c r="G39" s="2">
        <v>1315543</v>
      </c>
      <c r="H39" s="2"/>
      <c r="I39" s="2">
        <v>0</v>
      </c>
      <c r="J39" s="2"/>
      <c r="K39" s="2">
        <v>5162933</v>
      </c>
      <c r="L39" s="2"/>
      <c r="M39" s="2">
        <v>147652</v>
      </c>
      <c r="N39" s="2"/>
      <c r="O39" s="2">
        <v>1020176</v>
      </c>
      <c r="P39" s="2"/>
      <c r="Q39" s="2">
        <v>542486</v>
      </c>
      <c r="R39" s="2"/>
      <c r="S39" s="2">
        <v>104476</v>
      </c>
      <c r="T39" s="2"/>
      <c r="U39" s="2">
        <v>842221</v>
      </c>
      <c r="V39" s="2"/>
      <c r="W39" s="2">
        <v>542225</v>
      </c>
      <c r="X39" s="2"/>
      <c r="Y39" s="2">
        <v>233235</v>
      </c>
      <c r="Z39" s="2"/>
      <c r="AA39" s="2">
        <v>1539957</v>
      </c>
      <c r="AB39" s="2"/>
      <c r="AC39" s="2" t="s">
        <v>332</v>
      </c>
      <c r="AD39" s="19"/>
      <c r="AE39" s="19" t="s">
        <v>230</v>
      </c>
      <c r="AF39" s="19"/>
      <c r="AG39" s="2">
        <v>27976</v>
      </c>
      <c r="AH39" s="2"/>
      <c r="AI39" s="2">
        <v>459333</v>
      </c>
      <c r="AJ39" s="2"/>
      <c r="AK39" s="2"/>
      <c r="AL39" s="2"/>
      <c r="AM39" s="2">
        <v>284920</v>
      </c>
      <c r="AN39" s="2"/>
      <c r="AO39" s="2">
        <v>21096</v>
      </c>
      <c r="AP39" s="2"/>
      <c r="AQ39" s="2">
        <v>21715</v>
      </c>
      <c r="AR39" s="2"/>
      <c r="AS39" s="2">
        <v>0</v>
      </c>
      <c r="AT39" s="2"/>
      <c r="AU39" s="2"/>
      <c r="AV39" s="2"/>
      <c r="AW39" s="2"/>
      <c r="AX39" s="2"/>
      <c r="AY39" s="2">
        <v>0</v>
      </c>
      <c r="AZ39" s="2"/>
      <c r="BA39" s="13">
        <f t="shared" si="0"/>
        <v>12265944</v>
      </c>
      <c r="BB39" s="2"/>
      <c r="BC39" s="13">
        <f>+'St of Act-Rev'!AG40-BA39</f>
        <v>2200925</v>
      </c>
      <c r="BD39" s="2"/>
      <c r="BE39" s="2">
        <v>24699286</v>
      </c>
      <c r="BF39" s="2"/>
      <c r="BG39" s="13">
        <f t="shared" si="1"/>
        <v>26900211</v>
      </c>
      <c r="BI39" s="13">
        <f>+'St of Net Assets'!AA38-BG39</f>
        <v>0</v>
      </c>
    </row>
    <row r="40" spans="1:61">
      <c r="A40" s="2" t="s">
        <v>286</v>
      </c>
      <c r="B40" s="19"/>
      <c r="C40" s="19" t="s">
        <v>216</v>
      </c>
      <c r="D40" s="96"/>
      <c r="E40" s="19">
        <v>62109</v>
      </c>
      <c r="F40" s="96"/>
      <c r="G40" s="2">
        <v>2421040</v>
      </c>
      <c r="H40" s="2"/>
      <c r="I40" s="2">
        <v>469000</v>
      </c>
      <c r="J40" s="2"/>
      <c r="K40" s="2">
        <v>5143069</v>
      </c>
      <c r="L40" s="2"/>
      <c r="M40" s="2">
        <v>208299</v>
      </c>
      <c r="N40" s="2"/>
      <c r="O40" s="2">
        <v>1743784</v>
      </c>
      <c r="P40" s="2"/>
      <c r="Q40" s="2">
        <v>761371</v>
      </c>
      <c r="R40" s="2"/>
      <c r="S40" s="2">
        <v>38601</v>
      </c>
      <c r="T40" s="2"/>
      <c r="U40" s="2">
        <v>1571685</v>
      </c>
      <c r="V40" s="2"/>
      <c r="W40" s="2">
        <v>540771</v>
      </c>
      <c r="X40" s="2"/>
      <c r="Y40" s="2">
        <v>246545</v>
      </c>
      <c r="Z40" s="2"/>
      <c r="AA40" s="2">
        <v>2232142</v>
      </c>
      <c r="AB40" s="2"/>
      <c r="AC40" s="2" t="s">
        <v>286</v>
      </c>
      <c r="AD40" s="19"/>
      <c r="AE40" s="19" t="s">
        <v>216</v>
      </c>
      <c r="AF40" s="19"/>
      <c r="AG40" s="2">
        <v>47524</v>
      </c>
      <c r="AH40" s="2"/>
      <c r="AI40" s="2">
        <v>276530</v>
      </c>
      <c r="AJ40" s="2"/>
      <c r="AK40" s="2"/>
      <c r="AL40" s="2"/>
      <c r="AM40" s="2">
        <v>0</v>
      </c>
      <c r="AN40" s="2"/>
      <c r="AO40" s="2">
        <f>116775+1680273</f>
        <v>1797048</v>
      </c>
      <c r="AP40" s="2"/>
      <c r="AQ40" s="2">
        <v>24005</v>
      </c>
      <c r="AR40" s="2"/>
      <c r="AS40" s="2">
        <v>0</v>
      </c>
      <c r="AT40" s="2"/>
      <c r="AU40" s="2"/>
      <c r="AV40" s="2"/>
      <c r="AW40" s="2"/>
      <c r="AX40" s="2"/>
      <c r="AY40" s="2">
        <v>0</v>
      </c>
      <c r="AZ40" s="2"/>
      <c r="BA40" s="13">
        <f t="shared" si="0"/>
        <v>17521414</v>
      </c>
      <c r="BB40" s="2"/>
      <c r="BC40" s="13">
        <f>+'St of Act-Rev'!AG41-BA40</f>
        <v>1223724</v>
      </c>
      <c r="BD40" s="2"/>
      <c r="BE40" s="2">
        <v>11478119</v>
      </c>
      <c r="BF40" s="2"/>
      <c r="BG40" s="13">
        <f t="shared" si="1"/>
        <v>12701843</v>
      </c>
      <c r="BI40" s="13">
        <f>+'St of Net Assets'!AA39-BG40</f>
        <v>0</v>
      </c>
    </row>
    <row r="41" spans="1:61">
      <c r="A41" s="2" t="s">
        <v>333</v>
      </c>
      <c r="B41" s="19"/>
      <c r="C41" s="19" t="s">
        <v>222</v>
      </c>
      <c r="D41" s="96"/>
      <c r="E41" s="19">
        <v>51284</v>
      </c>
      <c r="F41" s="96"/>
      <c r="G41" s="2">
        <v>5320177</v>
      </c>
      <c r="H41" s="2"/>
      <c r="I41" s="2">
        <v>362757</v>
      </c>
      <c r="J41" s="2"/>
      <c r="K41" s="2">
        <v>12414293</v>
      </c>
      <c r="L41" s="2"/>
      <c r="M41" s="2">
        <v>3877678</v>
      </c>
      <c r="N41" s="2"/>
      <c r="O41" s="2">
        <v>1791509</v>
      </c>
      <c r="P41" s="2"/>
      <c r="Q41" s="2">
        <v>1633203</v>
      </c>
      <c r="R41" s="2"/>
      <c r="S41" s="2">
        <v>61685</v>
      </c>
      <c r="T41" s="2"/>
      <c r="U41" s="2">
        <v>2167472</v>
      </c>
      <c r="V41" s="2"/>
      <c r="W41" s="2">
        <v>870933</v>
      </c>
      <c r="X41" s="2"/>
      <c r="Y41" s="2">
        <v>666090</v>
      </c>
      <c r="Z41" s="2"/>
      <c r="AA41" s="2">
        <v>3944900</v>
      </c>
      <c r="AB41" s="2"/>
      <c r="AC41" s="2" t="s">
        <v>333</v>
      </c>
      <c r="AD41" s="19"/>
      <c r="AE41" s="19" t="s">
        <v>222</v>
      </c>
      <c r="AF41" s="19"/>
      <c r="AG41" s="2">
        <v>88962</v>
      </c>
      <c r="AH41" s="2"/>
      <c r="AI41" s="2">
        <v>2066429</v>
      </c>
      <c r="AJ41" s="2"/>
      <c r="AK41" s="2"/>
      <c r="AL41" s="2"/>
      <c r="AM41" s="2">
        <v>0</v>
      </c>
      <c r="AN41" s="2"/>
      <c r="AO41" s="2">
        <v>301376</v>
      </c>
      <c r="AP41" s="2"/>
      <c r="AQ41" s="2">
        <v>0</v>
      </c>
      <c r="AR41" s="2"/>
      <c r="AS41" s="2">
        <v>285309</v>
      </c>
      <c r="AT41" s="2"/>
      <c r="AU41" s="2"/>
      <c r="AV41" s="2"/>
      <c r="AW41" s="2"/>
      <c r="AX41" s="2"/>
      <c r="AY41" s="2">
        <v>0</v>
      </c>
      <c r="AZ41" s="2"/>
      <c r="BA41" s="13">
        <f t="shared" si="0"/>
        <v>35852773</v>
      </c>
      <c r="BB41" s="2"/>
      <c r="BC41" s="13">
        <f>+'St of Act-Rev'!AG42-BA41</f>
        <v>-557881</v>
      </c>
      <c r="BD41" s="2"/>
      <c r="BE41" s="2">
        <v>18880981</v>
      </c>
      <c r="BF41" s="2"/>
      <c r="BG41" s="13">
        <f t="shared" si="1"/>
        <v>18323100</v>
      </c>
      <c r="BI41" s="13">
        <f>+'St of Net Assets'!AA40-BG41</f>
        <v>0</v>
      </c>
    </row>
    <row r="42" spans="1:61">
      <c r="A42" s="2" t="s">
        <v>334</v>
      </c>
      <c r="B42" s="19"/>
      <c r="C42" s="19" t="s">
        <v>224</v>
      </c>
      <c r="D42" s="96"/>
      <c r="E42" s="19">
        <v>51300</v>
      </c>
      <c r="F42" s="96"/>
      <c r="G42" s="2">
        <v>1747270</v>
      </c>
      <c r="H42" s="2"/>
      <c r="I42" s="2">
        <v>0</v>
      </c>
      <c r="J42" s="2"/>
      <c r="K42" s="2">
        <v>6693389</v>
      </c>
      <c r="L42" s="2"/>
      <c r="M42" s="2">
        <v>2107315</v>
      </c>
      <c r="N42" s="2"/>
      <c r="O42" s="2">
        <v>997711</v>
      </c>
      <c r="P42" s="2"/>
      <c r="Q42" s="2">
        <v>663499</v>
      </c>
      <c r="R42" s="2"/>
      <c r="S42" s="2">
        <v>85242</v>
      </c>
      <c r="T42" s="2"/>
      <c r="U42" s="2">
        <v>1365817</v>
      </c>
      <c r="V42" s="2"/>
      <c r="W42" s="2">
        <v>631365</v>
      </c>
      <c r="X42" s="2"/>
      <c r="Y42" s="2">
        <v>238711</v>
      </c>
      <c r="Z42" s="2"/>
      <c r="AA42" s="2">
        <v>1296768</v>
      </c>
      <c r="AB42" s="2"/>
      <c r="AC42" s="2" t="s">
        <v>334</v>
      </c>
      <c r="AD42" s="19"/>
      <c r="AE42" s="19" t="s">
        <v>224</v>
      </c>
      <c r="AF42" s="19"/>
      <c r="AG42" s="2">
        <v>72471</v>
      </c>
      <c r="AH42" s="2"/>
      <c r="AI42" s="2">
        <v>393996</v>
      </c>
      <c r="AJ42" s="2"/>
      <c r="AK42" s="2"/>
      <c r="AL42" s="2"/>
      <c r="AM42" s="2">
        <v>0</v>
      </c>
      <c r="AN42" s="2"/>
      <c r="AO42" s="2">
        <v>360774</v>
      </c>
      <c r="AP42" s="2"/>
      <c r="AQ42" s="2">
        <v>90750</v>
      </c>
      <c r="AR42" s="2"/>
      <c r="AS42" s="2">
        <v>4768</v>
      </c>
      <c r="AT42" s="2"/>
      <c r="AU42" s="2"/>
      <c r="AV42" s="2"/>
      <c r="AW42" s="2"/>
      <c r="AX42" s="2"/>
      <c r="AY42" s="2">
        <v>0</v>
      </c>
      <c r="AZ42" s="2"/>
      <c r="BA42" s="13">
        <f t="shared" si="0"/>
        <v>16749846</v>
      </c>
      <c r="BB42" s="2"/>
      <c r="BC42" s="13">
        <f>+'St of Act-Rev'!AG43-BA42</f>
        <v>1493277</v>
      </c>
      <c r="BD42" s="2"/>
      <c r="BE42" s="2">
        <v>17714108</v>
      </c>
      <c r="BF42" s="2"/>
      <c r="BG42" s="13">
        <f t="shared" si="1"/>
        <v>19207385</v>
      </c>
      <c r="BI42" s="13">
        <f>+'St of Net Assets'!AA41-BG42</f>
        <v>0</v>
      </c>
    </row>
    <row r="43" spans="1:61">
      <c r="A43" s="13" t="s">
        <v>279</v>
      </c>
      <c r="B43" s="19"/>
      <c r="C43" s="19" t="s">
        <v>209</v>
      </c>
      <c r="E43" s="19">
        <v>51334</v>
      </c>
      <c r="G43" s="2">
        <v>1250297</v>
      </c>
      <c r="H43" s="2"/>
      <c r="I43" s="2">
        <v>652874</v>
      </c>
      <c r="J43" s="2"/>
      <c r="K43" s="2">
        <v>4774987</v>
      </c>
      <c r="L43" s="2"/>
      <c r="M43" s="2">
        <f>1305351+62942</f>
        <v>1368293</v>
      </c>
      <c r="N43" s="2"/>
      <c r="O43" s="2">
        <v>713057</v>
      </c>
      <c r="P43" s="2"/>
      <c r="Q43" s="2">
        <v>632227</v>
      </c>
      <c r="R43" s="2"/>
      <c r="S43" s="2">
        <v>54532</v>
      </c>
      <c r="T43" s="2"/>
      <c r="U43" s="2">
        <v>785117</v>
      </c>
      <c r="V43" s="2"/>
      <c r="W43" s="2">
        <v>268162</v>
      </c>
      <c r="X43" s="2"/>
      <c r="Y43" s="2">
        <v>597031</v>
      </c>
      <c r="Z43" s="2"/>
      <c r="AA43" s="2">
        <v>1673353</v>
      </c>
      <c r="AB43" s="2"/>
      <c r="AC43" s="13" t="s">
        <v>279</v>
      </c>
      <c r="AD43" s="19"/>
      <c r="AE43" s="19" t="s">
        <v>209</v>
      </c>
      <c r="AF43" s="19"/>
      <c r="AG43" s="2">
        <v>61699</v>
      </c>
      <c r="AH43" s="2"/>
      <c r="AI43" s="2">
        <v>1059511</v>
      </c>
      <c r="AJ43" s="2"/>
      <c r="AK43" s="2"/>
      <c r="AL43" s="2"/>
      <c r="AM43" s="2">
        <v>0</v>
      </c>
      <c r="AN43" s="2"/>
      <c r="AO43" s="2">
        <v>423623</v>
      </c>
      <c r="AP43" s="2"/>
      <c r="AQ43" s="2">
        <v>0</v>
      </c>
      <c r="AR43" s="2"/>
      <c r="AS43" s="2">
        <v>65472</v>
      </c>
      <c r="AT43" s="2"/>
      <c r="AU43" s="2"/>
      <c r="AV43" s="2"/>
      <c r="AW43" s="2"/>
      <c r="AX43" s="2"/>
      <c r="AY43" s="2">
        <v>0</v>
      </c>
      <c r="AZ43" s="2"/>
      <c r="BA43" s="13">
        <f t="shared" si="0"/>
        <v>14380235</v>
      </c>
      <c r="BB43" s="2"/>
      <c r="BC43" s="13">
        <f>+'St of Act-Rev'!AG44-BA43</f>
        <v>-14380235</v>
      </c>
      <c r="BD43" s="2"/>
      <c r="BE43" s="2">
        <v>12460446</v>
      </c>
      <c r="BF43" s="2"/>
      <c r="BG43" s="13">
        <f t="shared" si="1"/>
        <v>-1919789</v>
      </c>
      <c r="BI43" s="13">
        <f>+'St of Net Assets'!AA42-BG43</f>
        <v>1919789</v>
      </c>
    </row>
    <row r="44" spans="1:61">
      <c r="A44" s="2" t="s">
        <v>335</v>
      </c>
      <c r="B44" s="19"/>
      <c r="C44" s="19" t="s">
        <v>264</v>
      </c>
      <c r="D44" s="96"/>
      <c r="E44" s="19">
        <v>51359</v>
      </c>
      <c r="F44" s="96"/>
      <c r="G44" s="2">
        <v>0</v>
      </c>
      <c r="H44" s="2"/>
      <c r="I44" s="2">
        <v>1300714</v>
      </c>
      <c r="J44" s="2"/>
      <c r="K44" s="2">
        <v>17931084</v>
      </c>
      <c r="L44" s="2"/>
      <c r="M44" s="2">
        <v>661666</v>
      </c>
      <c r="N44" s="2"/>
      <c r="O44" s="2">
        <v>2767015</v>
      </c>
      <c r="P44" s="2"/>
      <c r="Q44" s="2">
        <v>2426802</v>
      </c>
      <c r="R44" s="2"/>
      <c r="S44" s="2">
        <v>87738</v>
      </c>
      <c r="T44" s="2"/>
      <c r="U44" s="2">
        <v>1276550</v>
      </c>
      <c r="V44" s="2"/>
      <c r="W44" s="2">
        <v>661035</v>
      </c>
      <c r="X44" s="2"/>
      <c r="Y44" s="2">
        <v>0</v>
      </c>
      <c r="Z44" s="2"/>
      <c r="AA44" s="2">
        <v>3004122</v>
      </c>
      <c r="AB44" s="2"/>
      <c r="AC44" s="2" t="s">
        <v>335</v>
      </c>
      <c r="AD44" s="19"/>
      <c r="AE44" s="19" t="s">
        <v>264</v>
      </c>
      <c r="AF44" s="19"/>
      <c r="AG44" s="2">
        <v>0</v>
      </c>
      <c r="AH44" s="2"/>
      <c r="AI44" s="2">
        <v>318190</v>
      </c>
      <c r="AJ44" s="2"/>
      <c r="AK44" s="2"/>
      <c r="AL44" s="2"/>
      <c r="AM44" s="2">
        <v>0</v>
      </c>
      <c r="AN44" s="2"/>
      <c r="AO44" s="2">
        <v>1068323</v>
      </c>
      <c r="AP44" s="2"/>
      <c r="AQ44" s="2">
        <v>125457</v>
      </c>
      <c r="AR44" s="2"/>
      <c r="AS44" s="2">
        <v>2934540</v>
      </c>
      <c r="AT44" s="2"/>
      <c r="AU44" s="2"/>
      <c r="AV44" s="2"/>
      <c r="AW44" s="2"/>
      <c r="AX44" s="2"/>
      <c r="AY44" s="2">
        <v>0</v>
      </c>
      <c r="AZ44" s="2"/>
      <c r="BA44" s="13">
        <f t="shared" si="0"/>
        <v>34563236</v>
      </c>
      <c r="BB44" s="2"/>
      <c r="BC44" s="13">
        <f>+'St of Act-Rev'!AG45-BA44</f>
        <v>574070</v>
      </c>
      <c r="BD44" s="2"/>
      <c r="BE44" s="2">
        <v>50995109</v>
      </c>
      <c r="BF44" s="2"/>
      <c r="BG44" s="13">
        <f t="shared" si="1"/>
        <v>51569179</v>
      </c>
      <c r="BI44" s="13">
        <f>+'St of Net Assets'!AA43-BG44</f>
        <v>0</v>
      </c>
    </row>
    <row r="45" spans="1:61">
      <c r="A45" s="2" t="s">
        <v>336</v>
      </c>
      <c r="B45" s="19"/>
      <c r="C45" s="19" t="s">
        <v>238</v>
      </c>
      <c r="D45" s="96"/>
      <c r="E45" s="19">
        <v>51433</v>
      </c>
      <c r="F45" s="96"/>
      <c r="G45" s="2">
        <v>989820</v>
      </c>
      <c r="H45" s="2"/>
      <c r="I45" s="2">
        <v>0</v>
      </c>
      <c r="J45" s="2"/>
      <c r="K45" s="2">
        <v>12682489</v>
      </c>
      <c r="L45" s="2"/>
      <c r="M45" s="2">
        <v>52655</v>
      </c>
      <c r="N45" s="2"/>
      <c r="O45" s="2">
        <v>1630989</v>
      </c>
      <c r="P45" s="2"/>
      <c r="Q45" s="2">
        <v>1180139</v>
      </c>
      <c r="R45" s="2"/>
      <c r="S45" s="2">
        <v>68282</v>
      </c>
      <c r="T45" s="2"/>
      <c r="U45" s="2">
        <v>428691</v>
      </c>
      <c r="V45" s="2"/>
      <c r="W45" s="2">
        <v>529306</v>
      </c>
      <c r="X45" s="2"/>
      <c r="Y45" s="2">
        <v>3755</v>
      </c>
      <c r="Z45" s="2"/>
      <c r="AA45" s="2">
        <v>1210043</v>
      </c>
      <c r="AB45" s="2"/>
      <c r="AC45" s="2" t="s">
        <v>336</v>
      </c>
      <c r="AD45" s="19"/>
      <c r="AE45" s="19" t="s">
        <v>238</v>
      </c>
      <c r="AF45" s="19"/>
      <c r="AG45" s="2">
        <v>16263</v>
      </c>
      <c r="AH45" s="2"/>
      <c r="AI45" s="2">
        <v>34268</v>
      </c>
      <c r="AJ45" s="2"/>
      <c r="AK45" s="2"/>
      <c r="AL45" s="2"/>
      <c r="AM45" s="2">
        <v>0</v>
      </c>
      <c r="AN45" s="2"/>
      <c r="AO45" s="2">
        <v>268638</v>
      </c>
      <c r="AP45" s="2"/>
      <c r="AQ45" s="2">
        <v>8528</v>
      </c>
      <c r="AR45" s="2"/>
      <c r="AS45" s="2">
        <v>327</v>
      </c>
      <c r="AT45" s="2"/>
      <c r="AU45" s="2"/>
      <c r="AV45" s="2"/>
      <c r="AW45" s="2"/>
      <c r="AX45" s="2"/>
      <c r="AY45" s="2">
        <v>0</v>
      </c>
      <c r="AZ45" s="2"/>
      <c r="BA45" s="13">
        <f t="shared" si="0"/>
        <v>19104193</v>
      </c>
      <c r="BB45" s="2"/>
      <c r="BC45" s="13">
        <f>+'St of Act-Rev'!AG46-BA45</f>
        <v>2133095</v>
      </c>
      <c r="BD45" s="2"/>
      <c r="BE45" s="2">
        <v>21799497</v>
      </c>
      <c r="BF45" s="2"/>
      <c r="BG45" s="13">
        <f t="shared" si="1"/>
        <v>23932592</v>
      </c>
      <c r="BI45" s="13">
        <f>+'St of Net Assets'!AA44-BG45</f>
        <v>0</v>
      </c>
    </row>
    <row r="46" spans="1:61">
      <c r="A46" s="2" t="s">
        <v>337</v>
      </c>
      <c r="B46" s="19"/>
      <c r="C46" s="19" t="s">
        <v>288</v>
      </c>
      <c r="D46" s="96"/>
      <c r="E46" s="19">
        <v>51375</v>
      </c>
      <c r="F46" s="96"/>
      <c r="G46" s="2">
        <v>29434</v>
      </c>
      <c r="H46" s="2"/>
      <c r="I46" s="2">
        <v>119551</v>
      </c>
      <c r="J46" s="2"/>
      <c r="K46" s="2">
        <v>4767454</v>
      </c>
      <c r="L46" s="2"/>
      <c r="M46" s="2">
        <v>488603</v>
      </c>
      <c r="N46" s="2"/>
      <c r="O46" s="2">
        <v>356140</v>
      </c>
      <c r="P46" s="2"/>
      <c r="Q46" s="2">
        <v>236324</v>
      </c>
      <c r="R46" s="2"/>
      <c r="S46" s="2">
        <v>85962</v>
      </c>
      <c r="T46" s="2"/>
      <c r="U46" s="2">
        <v>518653</v>
      </c>
      <c r="V46" s="2"/>
      <c r="W46" s="2">
        <v>372970</v>
      </c>
      <c r="X46" s="2"/>
      <c r="Y46" s="2">
        <v>0</v>
      </c>
      <c r="Z46" s="2"/>
      <c r="AA46" s="2">
        <v>1309757</v>
      </c>
      <c r="AB46" s="2"/>
      <c r="AC46" s="2" t="s">
        <v>337</v>
      </c>
      <c r="AD46" s="19"/>
      <c r="AE46" s="19" t="s">
        <v>288</v>
      </c>
      <c r="AF46" s="19"/>
      <c r="AG46" s="2">
        <v>43335</v>
      </c>
      <c r="AH46" s="2"/>
      <c r="AI46" s="2">
        <v>225829</v>
      </c>
      <c r="AJ46" s="2"/>
      <c r="AK46" s="2"/>
      <c r="AL46" s="2"/>
      <c r="AM46" s="2">
        <v>0</v>
      </c>
      <c r="AN46" s="2"/>
      <c r="AO46" s="2">
        <v>331642</v>
      </c>
      <c r="AP46" s="2"/>
      <c r="AQ46" s="2">
        <v>2708</v>
      </c>
      <c r="AR46" s="2"/>
      <c r="AS46" s="2">
        <v>188205</v>
      </c>
      <c r="AT46" s="2"/>
      <c r="AU46" s="2"/>
      <c r="AV46" s="2"/>
      <c r="AW46" s="2"/>
      <c r="AX46" s="2"/>
      <c r="AY46" s="2">
        <v>0</v>
      </c>
      <c r="AZ46" s="2"/>
      <c r="BA46" s="13">
        <f t="shared" si="0"/>
        <v>9076567</v>
      </c>
      <c r="BB46" s="2"/>
      <c r="BC46" s="13">
        <f>+'St of Act-Rev'!AG47-BA46</f>
        <v>-967267</v>
      </c>
      <c r="BD46" s="2"/>
      <c r="BE46" s="2">
        <v>21558476</v>
      </c>
      <c r="BF46" s="2"/>
      <c r="BG46" s="13">
        <f t="shared" si="1"/>
        <v>20591209</v>
      </c>
      <c r="BI46" s="13">
        <f>+'St of Net Assets'!AA45-BG46</f>
        <v>0</v>
      </c>
    </row>
    <row r="47" spans="1:61">
      <c r="A47" s="2" t="s">
        <v>338</v>
      </c>
      <c r="B47" s="19"/>
      <c r="C47" s="19" t="s">
        <v>236</v>
      </c>
      <c r="D47" s="96"/>
      <c r="E47" s="19">
        <v>51417</v>
      </c>
      <c r="F47" s="96"/>
      <c r="G47" s="2">
        <v>746361</v>
      </c>
      <c r="H47" s="2"/>
      <c r="I47" s="2">
        <v>433739</v>
      </c>
      <c r="J47" s="2"/>
      <c r="K47" s="2">
        <v>9709474</v>
      </c>
      <c r="L47" s="2"/>
      <c r="M47" s="2">
        <f>384216+41146</f>
        <v>425362</v>
      </c>
      <c r="N47" s="2"/>
      <c r="O47" s="2">
        <v>1209646</v>
      </c>
      <c r="P47" s="2"/>
      <c r="Q47" s="2">
        <v>1587544</v>
      </c>
      <c r="R47" s="2"/>
      <c r="S47" s="2">
        <v>81772</v>
      </c>
      <c r="T47" s="2"/>
      <c r="U47" s="2">
        <v>1286180</v>
      </c>
      <c r="V47" s="2"/>
      <c r="W47" s="2">
        <v>503072</v>
      </c>
      <c r="X47" s="2"/>
      <c r="Y47" s="2">
        <v>164142</v>
      </c>
      <c r="Z47" s="2"/>
      <c r="AA47" s="2">
        <v>1141222</v>
      </c>
      <c r="AB47" s="2"/>
      <c r="AC47" s="2" t="s">
        <v>338</v>
      </c>
      <c r="AD47" s="19"/>
      <c r="AE47" s="19" t="s">
        <v>236</v>
      </c>
      <c r="AF47" s="19"/>
      <c r="AG47" s="2">
        <v>12297</v>
      </c>
      <c r="AH47" s="2"/>
      <c r="AI47" s="2">
        <v>136630</v>
      </c>
      <c r="AJ47" s="2"/>
      <c r="AK47" s="2"/>
      <c r="AL47" s="2"/>
      <c r="AM47" s="2">
        <v>374546</v>
      </c>
      <c r="AN47" s="2"/>
      <c r="AO47" s="2">
        <v>183</v>
      </c>
      <c r="AP47" s="2"/>
      <c r="AQ47" s="2">
        <v>87635</v>
      </c>
      <c r="AR47" s="2"/>
      <c r="AS47" s="2">
        <v>529892</v>
      </c>
      <c r="AT47" s="2"/>
      <c r="AU47" s="2"/>
      <c r="AV47" s="2"/>
      <c r="AW47" s="2"/>
      <c r="AX47" s="2"/>
      <c r="AY47" s="2">
        <v>0</v>
      </c>
      <c r="AZ47" s="2"/>
      <c r="BA47" s="13">
        <f t="shared" si="0"/>
        <v>18429697</v>
      </c>
      <c r="BB47" s="2"/>
      <c r="BC47" s="13">
        <f>+'St of Act-Rev'!AG48-BA47</f>
        <v>19767966</v>
      </c>
      <c r="BD47" s="2"/>
      <c r="BE47" s="2">
        <v>19128678</v>
      </c>
      <c r="BF47" s="2"/>
      <c r="BG47" s="13">
        <f t="shared" si="1"/>
        <v>38896644</v>
      </c>
      <c r="BI47" s="13">
        <f>+'St of Net Assets'!AA46-BG47</f>
        <v>0</v>
      </c>
    </row>
    <row r="48" spans="1:61">
      <c r="A48" s="2" t="s">
        <v>339</v>
      </c>
      <c r="B48" s="19"/>
      <c r="C48" s="19" t="s">
        <v>177</v>
      </c>
      <c r="D48" s="96"/>
      <c r="E48" s="19">
        <v>50948</v>
      </c>
      <c r="F48" s="96"/>
      <c r="G48" s="2">
        <v>0</v>
      </c>
      <c r="H48" s="2"/>
      <c r="I48" s="2">
        <v>0</v>
      </c>
      <c r="J48" s="2"/>
      <c r="K48" s="2">
        <v>6663101</v>
      </c>
      <c r="L48" s="2"/>
      <c r="M48" s="2">
        <v>90601</v>
      </c>
      <c r="N48" s="2"/>
      <c r="O48" s="2">
        <v>1800372</v>
      </c>
      <c r="P48" s="2"/>
      <c r="Q48" s="2">
        <v>1579455</v>
      </c>
      <c r="R48" s="2"/>
      <c r="S48" s="2">
        <v>112411</v>
      </c>
      <c r="T48" s="2"/>
      <c r="U48" s="2">
        <v>843339</v>
      </c>
      <c r="V48" s="2"/>
      <c r="W48" s="2">
        <v>667328</v>
      </c>
      <c r="X48" s="2"/>
      <c r="Y48" s="2">
        <v>248207</v>
      </c>
      <c r="Z48" s="2"/>
      <c r="AA48" s="2">
        <v>1864294</v>
      </c>
      <c r="AB48" s="2"/>
      <c r="AC48" s="2" t="s">
        <v>339</v>
      </c>
      <c r="AD48" s="19"/>
      <c r="AE48" s="19" t="s">
        <v>177</v>
      </c>
      <c r="AF48" s="19"/>
      <c r="AG48" s="2">
        <v>30056</v>
      </c>
      <c r="AH48" s="2"/>
      <c r="AI48" s="2">
        <v>1186468</v>
      </c>
      <c r="AJ48" s="2"/>
      <c r="AK48" s="2"/>
      <c r="AL48" s="2"/>
      <c r="AM48" s="2">
        <v>162136</v>
      </c>
      <c r="AN48" s="2"/>
      <c r="AO48" s="2">
        <f>195815+93364+2153556</f>
        <v>2442735</v>
      </c>
      <c r="AP48" s="2"/>
      <c r="AQ48" s="2">
        <v>40572</v>
      </c>
      <c r="AR48" s="2"/>
      <c r="AS48" s="2">
        <v>0</v>
      </c>
      <c r="AT48" s="2"/>
      <c r="AU48" s="2"/>
      <c r="AV48" s="2"/>
      <c r="AW48" s="2"/>
      <c r="AX48" s="2"/>
      <c r="AY48" s="2">
        <v>0</v>
      </c>
      <c r="AZ48" s="2"/>
      <c r="BA48" s="13">
        <f t="shared" si="0"/>
        <v>17731075</v>
      </c>
      <c r="BB48" s="2"/>
      <c r="BC48" s="13">
        <f>+'St of Act-Rev'!AG49-BA48</f>
        <v>-735532</v>
      </c>
      <c r="BD48" s="2"/>
      <c r="BE48" s="2">
        <v>16167331</v>
      </c>
      <c r="BF48" s="2"/>
      <c r="BG48" s="13">
        <f t="shared" si="1"/>
        <v>15431799</v>
      </c>
      <c r="BI48" s="13">
        <f>+'St of Net Assets'!AA47-BG48</f>
        <v>0</v>
      </c>
    </row>
    <row r="49" spans="1:61">
      <c r="A49" s="2" t="s">
        <v>340</v>
      </c>
      <c r="B49" s="19"/>
      <c r="C49" s="19" t="s">
        <v>250</v>
      </c>
      <c r="D49" s="96"/>
      <c r="E49" s="19">
        <v>63495</v>
      </c>
      <c r="F49" s="96"/>
      <c r="G49" s="2">
        <v>338378</v>
      </c>
      <c r="H49" s="2"/>
      <c r="I49" s="2">
        <v>239587</v>
      </c>
      <c r="J49" s="2"/>
      <c r="K49" s="2">
        <v>3519914</v>
      </c>
      <c r="L49" s="2"/>
      <c r="M49" s="2">
        <f>958897+1658</f>
        <v>960555</v>
      </c>
      <c r="N49" s="2"/>
      <c r="O49" s="2">
        <v>469996</v>
      </c>
      <c r="P49" s="2"/>
      <c r="Q49" s="2">
        <v>98675</v>
      </c>
      <c r="R49" s="2"/>
      <c r="S49" s="2">
        <v>26447</v>
      </c>
      <c r="T49" s="2"/>
      <c r="U49" s="2">
        <v>816058</v>
      </c>
      <c r="V49" s="2"/>
      <c r="W49" s="2">
        <v>377379</v>
      </c>
      <c r="X49" s="2"/>
      <c r="Y49" s="2">
        <v>0</v>
      </c>
      <c r="Z49" s="2"/>
      <c r="AA49" s="2">
        <v>393340</v>
      </c>
      <c r="AB49" s="2"/>
      <c r="AC49" s="2" t="s">
        <v>340</v>
      </c>
      <c r="AD49" s="19"/>
      <c r="AE49" s="19" t="s">
        <v>250</v>
      </c>
      <c r="AF49" s="19"/>
      <c r="AG49" s="2">
        <v>42747</v>
      </c>
      <c r="AH49" s="2"/>
      <c r="AI49" s="2">
        <v>65452</v>
      </c>
      <c r="AJ49" s="2"/>
      <c r="AK49" s="2"/>
      <c r="AL49" s="2"/>
      <c r="AM49" s="2">
        <v>0</v>
      </c>
      <c r="AN49" s="2"/>
      <c r="AO49" s="2">
        <v>0</v>
      </c>
      <c r="AP49" s="2"/>
      <c r="AQ49" s="2">
        <v>10896</v>
      </c>
      <c r="AR49" s="2"/>
      <c r="AS49" s="2">
        <v>0</v>
      </c>
      <c r="AT49" s="2"/>
      <c r="AU49" s="2"/>
      <c r="AV49" s="2"/>
      <c r="AW49" s="2"/>
      <c r="AX49" s="2"/>
      <c r="AY49" s="2">
        <v>0</v>
      </c>
      <c r="AZ49" s="2"/>
      <c r="BA49" s="13">
        <f t="shared" si="0"/>
        <v>7359424</v>
      </c>
      <c r="BB49" s="2"/>
      <c r="BC49" s="13">
        <f>+'St of Act-Rev'!AG50-BA49</f>
        <v>662526</v>
      </c>
      <c r="BD49" s="2"/>
      <c r="BE49" s="2">
        <v>14081038</v>
      </c>
      <c r="BF49" s="2"/>
      <c r="BG49" s="13">
        <f t="shared" si="1"/>
        <v>14743564</v>
      </c>
      <c r="BI49" s="13">
        <f>+'St of Net Assets'!AA48-BG49</f>
        <v>0</v>
      </c>
    </row>
    <row r="50" spans="1:61">
      <c r="A50" s="2" t="s">
        <v>341</v>
      </c>
      <c r="B50" s="19"/>
      <c r="C50" s="19" t="s">
        <v>242</v>
      </c>
      <c r="D50" s="96"/>
      <c r="E50" s="19">
        <v>51490</v>
      </c>
      <c r="F50" s="96"/>
      <c r="G50" s="2">
        <v>0</v>
      </c>
      <c r="H50" s="2"/>
      <c r="I50" s="2">
        <v>168755</v>
      </c>
      <c r="J50" s="2"/>
      <c r="K50" s="2">
        <v>6261780</v>
      </c>
      <c r="L50" s="2"/>
      <c r="M50" s="2">
        <v>0</v>
      </c>
      <c r="N50" s="2"/>
      <c r="O50" s="2">
        <v>507383</v>
      </c>
      <c r="P50" s="2"/>
      <c r="Q50" s="2">
        <v>531882</v>
      </c>
      <c r="R50" s="2"/>
      <c r="S50" s="2">
        <v>16670</v>
      </c>
      <c r="T50" s="2"/>
      <c r="U50" s="2">
        <v>1491693</v>
      </c>
      <c r="V50" s="2"/>
      <c r="W50" s="2">
        <v>387407</v>
      </c>
      <c r="X50" s="2"/>
      <c r="Y50" s="2">
        <v>0</v>
      </c>
      <c r="Z50" s="2"/>
      <c r="AA50" s="2">
        <v>1124671</v>
      </c>
      <c r="AB50" s="2"/>
      <c r="AC50" s="2" t="s">
        <v>341</v>
      </c>
      <c r="AD50" s="19"/>
      <c r="AE50" s="19" t="s">
        <v>242</v>
      </c>
      <c r="AF50" s="19"/>
      <c r="AG50" s="2">
        <v>16952</v>
      </c>
      <c r="AH50" s="2"/>
      <c r="AI50" s="2">
        <v>148815</v>
      </c>
      <c r="AJ50" s="2"/>
      <c r="AK50" s="2"/>
      <c r="AL50" s="2"/>
      <c r="AM50" s="2">
        <v>0</v>
      </c>
      <c r="AN50" s="2"/>
      <c r="AO50" s="2">
        <v>319153</v>
      </c>
      <c r="AP50" s="2"/>
      <c r="AQ50" s="2">
        <v>34444</v>
      </c>
      <c r="AR50" s="2"/>
      <c r="AS50" s="2">
        <v>0</v>
      </c>
      <c r="AT50" s="2"/>
      <c r="AU50" s="2"/>
      <c r="AV50" s="2"/>
      <c r="AW50" s="2"/>
      <c r="AX50" s="2"/>
      <c r="AY50" s="2">
        <v>0</v>
      </c>
      <c r="AZ50" s="2"/>
      <c r="BA50" s="13">
        <f t="shared" si="0"/>
        <v>11009605</v>
      </c>
      <c r="BB50" s="2"/>
      <c r="BC50" s="13">
        <f>+'St of Act-Rev'!AG51-BA50</f>
        <v>647560</v>
      </c>
      <c r="BD50" s="2"/>
      <c r="BE50" s="2">
        <v>24353720</v>
      </c>
      <c r="BF50" s="2"/>
      <c r="BG50" s="13">
        <f t="shared" si="1"/>
        <v>25001280</v>
      </c>
      <c r="BI50" s="13">
        <f>+'St of Net Assets'!AA49-BG50</f>
        <v>0</v>
      </c>
    </row>
    <row r="51" spans="1:61">
      <c r="A51" s="2" t="s">
        <v>268</v>
      </c>
      <c r="B51" s="19"/>
      <c r="C51" s="19" t="s">
        <v>164</v>
      </c>
      <c r="D51" s="96"/>
      <c r="E51" s="19">
        <v>50799</v>
      </c>
      <c r="F51" s="96"/>
      <c r="G51" s="2">
        <v>237367</v>
      </c>
      <c r="H51" s="2"/>
      <c r="I51" s="2">
        <v>32077</v>
      </c>
      <c r="J51" s="2"/>
      <c r="K51" s="2">
        <v>3816451</v>
      </c>
      <c r="L51" s="2"/>
      <c r="M51" s="2">
        <v>185832</v>
      </c>
      <c r="N51" s="2"/>
      <c r="O51" s="2">
        <v>368491</v>
      </c>
      <c r="P51" s="2"/>
      <c r="Q51" s="2">
        <v>209203</v>
      </c>
      <c r="R51" s="2"/>
      <c r="S51" s="2">
        <v>45910</v>
      </c>
      <c r="T51" s="2"/>
      <c r="U51" s="2">
        <v>616272</v>
      </c>
      <c r="V51" s="2"/>
      <c r="W51" s="2">
        <v>382329</v>
      </c>
      <c r="X51" s="2"/>
      <c r="Y51" s="2">
        <v>17642</v>
      </c>
      <c r="Z51" s="2"/>
      <c r="AA51" s="2">
        <v>566361</v>
      </c>
      <c r="AB51" s="2"/>
      <c r="AC51" s="2" t="s">
        <v>268</v>
      </c>
      <c r="AD51" s="19"/>
      <c r="AE51" s="19" t="s">
        <v>164</v>
      </c>
      <c r="AF51" s="19"/>
      <c r="AG51" s="2">
        <v>29351</v>
      </c>
      <c r="AH51" s="2"/>
      <c r="AI51" s="2">
        <v>41162</v>
      </c>
      <c r="AJ51" s="2"/>
      <c r="AK51" s="2"/>
      <c r="AL51" s="2"/>
      <c r="AM51" s="2">
        <v>277097</v>
      </c>
      <c r="AN51" s="2"/>
      <c r="AO51" s="2">
        <v>0</v>
      </c>
      <c r="AP51" s="2"/>
      <c r="AQ51" s="2">
        <v>5149</v>
      </c>
      <c r="AR51" s="2"/>
      <c r="AS51" s="2">
        <v>28234</v>
      </c>
      <c r="AT51" s="2"/>
      <c r="AU51" s="2"/>
      <c r="AV51" s="2"/>
      <c r="AW51" s="2"/>
      <c r="AX51" s="2"/>
      <c r="AY51" s="2">
        <v>0</v>
      </c>
      <c r="AZ51" s="2"/>
      <c r="BA51" s="13">
        <f t="shared" si="0"/>
        <v>6858928</v>
      </c>
      <c r="BB51" s="2"/>
      <c r="BC51" s="13">
        <f>+'St of Act-Rev'!AG52-BA51</f>
        <v>159117</v>
      </c>
      <c r="BD51" s="2"/>
      <c r="BE51" s="2">
        <v>17436574</v>
      </c>
      <c r="BF51" s="2"/>
      <c r="BG51" s="13">
        <f t="shared" si="1"/>
        <v>17595691</v>
      </c>
      <c r="BI51" s="13">
        <f>+'St of Net Assets'!AA50-BG51</f>
        <v>0</v>
      </c>
    </row>
    <row r="52" spans="1:61">
      <c r="A52" s="13" t="s">
        <v>387</v>
      </c>
      <c r="B52" s="19"/>
      <c r="C52" s="19" t="s">
        <v>169</v>
      </c>
      <c r="D52" s="96"/>
      <c r="E52" s="19">
        <v>51532</v>
      </c>
      <c r="F52" s="96"/>
      <c r="G52" s="2">
        <v>0</v>
      </c>
      <c r="H52" s="2"/>
      <c r="I52" s="2">
        <v>711224</v>
      </c>
      <c r="J52" s="2"/>
      <c r="K52" s="2">
        <v>5561085</v>
      </c>
      <c r="L52" s="2"/>
      <c r="M52" s="2">
        <v>6204</v>
      </c>
      <c r="N52" s="2"/>
      <c r="O52" s="2">
        <v>769893</v>
      </c>
      <c r="P52" s="2"/>
      <c r="Q52" s="2">
        <v>978921</v>
      </c>
      <c r="R52" s="2"/>
      <c r="S52" s="2">
        <v>46803</v>
      </c>
      <c r="T52" s="2"/>
      <c r="U52" s="2">
        <v>656803</v>
      </c>
      <c r="V52" s="2"/>
      <c r="W52" s="2">
        <v>539338</v>
      </c>
      <c r="X52" s="2"/>
      <c r="Y52" s="2">
        <v>121637</v>
      </c>
      <c r="Z52" s="2"/>
      <c r="AA52" s="2">
        <v>1546760</v>
      </c>
      <c r="AB52" s="2"/>
      <c r="AC52" s="2" t="s">
        <v>269</v>
      </c>
      <c r="AD52" s="19"/>
      <c r="AE52" s="19" t="s">
        <v>169</v>
      </c>
      <c r="AF52" s="19"/>
      <c r="AG52" s="2">
        <v>51571</v>
      </c>
      <c r="AH52" s="2"/>
      <c r="AI52" s="2">
        <v>24466</v>
      </c>
      <c r="AJ52" s="2"/>
      <c r="AK52" s="2"/>
      <c r="AL52" s="2"/>
      <c r="AM52" s="2">
        <v>288684</v>
      </c>
      <c r="AN52" s="2"/>
      <c r="AO52" s="2">
        <v>0</v>
      </c>
      <c r="AP52" s="2"/>
      <c r="AQ52" s="2">
        <v>17258</v>
      </c>
      <c r="AR52" s="2"/>
      <c r="AS52" s="2">
        <v>177468</v>
      </c>
      <c r="AT52" s="2"/>
      <c r="AU52" s="2"/>
      <c r="AV52" s="2"/>
      <c r="AW52" s="2"/>
      <c r="AX52" s="2"/>
      <c r="AY52" s="2">
        <v>0</v>
      </c>
      <c r="AZ52" s="2"/>
      <c r="BA52" s="13">
        <f t="shared" si="0"/>
        <v>11498115</v>
      </c>
      <c r="BB52" s="2"/>
      <c r="BC52" s="13">
        <f>+'St of Act-Rev'!AG53-BA52</f>
        <v>679374</v>
      </c>
      <c r="BD52" s="2"/>
      <c r="BE52" s="2">
        <v>8703785</v>
      </c>
      <c r="BF52" s="2"/>
      <c r="BG52" s="13">
        <f t="shared" si="1"/>
        <v>9383159</v>
      </c>
      <c r="BI52" s="13">
        <f>+'St of Net Assets'!AA51-BG52</f>
        <v>0</v>
      </c>
    </row>
    <row r="53" spans="1:61">
      <c r="A53" s="2" t="s">
        <v>289</v>
      </c>
      <c r="B53" s="19"/>
      <c r="C53" s="19" t="s">
        <v>248</v>
      </c>
      <c r="D53" s="96"/>
      <c r="E53" s="19">
        <v>62026</v>
      </c>
      <c r="F53" s="96"/>
      <c r="G53" s="2">
        <v>709032</v>
      </c>
      <c r="H53" s="2"/>
      <c r="I53" s="2">
        <v>137066</v>
      </c>
      <c r="J53" s="2"/>
      <c r="K53" s="2">
        <v>3366191</v>
      </c>
      <c r="L53" s="2"/>
      <c r="M53" s="2">
        <f>4677+875</f>
        <v>5552</v>
      </c>
      <c r="N53" s="2"/>
      <c r="O53" s="2">
        <v>911934</v>
      </c>
      <c r="P53" s="2"/>
      <c r="Q53" s="2">
        <v>574159</v>
      </c>
      <c r="R53" s="2"/>
      <c r="S53" s="2">
        <v>18862</v>
      </c>
      <c r="T53" s="2"/>
      <c r="U53" s="2">
        <v>287004</v>
      </c>
      <c r="V53" s="2"/>
      <c r="W53" s="2">
        <v>251500</v>
      </c>
      <c r="X53" s="2"/>
      <c r="Y53" s="2">
        <v>32979</v>
      </c>
      <c r="Z53" s="2"/>
      <c r="AA53" s="2">
        <v>951114</v>
      </c>
      <c r="AB53" s="2"/>
      <c r="AC53" s="2" t="s">
        <v>289</v>
      </c>
      <c r="AD53" s="19"/>
      <c r="AE53" s="19" t="s">
        <v>248</v>
      </c>
      <c r="AF53" s="19"/>
      <c r="AG53" s="2">
        <v>0</v>
      </c>
      <c r="AH53" s="2"/>
      <c r="AI53" s="2">
        <v>105529</v>
      </c>
      <c r="AJ53" s="2"/>
      <c r="AK53" s="2"/>
      <c r="AL53" s="2"/>
      <c r="AM53" s="2">
        <v>247973</v>
      </c>
      <c r="AN53" s="2"/>
      <c r="AO53" s="2">
        <v>1618</v>
      </c>
      <c r="AP53" s="2"/>
      <c r="AQ53" s="2">
        <v>32007</v>
      </c>
      <c r="AR53" s="2"/>
      <c r="AS53" s="2">
        <v>0</v>
      </c>
      <c r="AT53" s="2"/>
      <c r="AU53" s="2"/>
      <c r="AV53" s="2"/>
      <c r="AW53" s="2"/>
      <c r="AX53" s="2"/>
      <c r="AY53" s="2">
        <v>0</v>
      </c>
      <c r="AZ53" s="2"/>
      <c r="BA53" s="13">
        <f t="shared" si="0"/>
        <v>7632520</v>
      </c>
      <c r="BB53" s="2"/>
      <c r="BC53" s="13">
        <f>+'St of Act-Rev'!AG54-BA53</f>
        <v>307309</v>
      </c>
      <c r="BD53" s="2"/>
      <c r="BE53" s="2">
        <v>14602175</v>
      </c>
      <c r="BF53" s="2"/>
      <c r="BG53" s="13">
        <f t="shared" si="1"/>
        <v>14909484</v>
      </c>
      <c r="BI53" s="13">
        <f>+'St of Net Assets'!AA52-BG53</f>
        <v>0</v>
      </c>
    </row>
    <row r="54" spans="1:61">
      <c r="A54" s="17" t="s">
        <v>398</v>
      </c>
      <c r="B54" s="19"/>
      <c r="C54" s="19" t="s">
        <v>282</v>
      </c>
      <c r="E54" s="19"/>
      <c r="G54" s="2">
        <v>1542196</v>
      </c>
      <c r="H54" s="2"/>
      <c r="I54" s="2">
        <v>866933</v>
      </c>
      <c r="J54" s="2"/>
      <c r="K54" s="2">
        <v>3942746</v>
      </c>
      <c r="L54" s="2"/>
      <c r="M54" s="2">
        <f>179765+137677</f>
        <v>317442</v>
      </c>
      <c r="N54" s="2"/>
      <c r="O54" s="2">
        <v>1040450</v>
      </c>
      <c r="P54" s="2"/>
      <c r="Q54" s="2">
        <v>900116</v>
      </c>
      <c r="R54" s="2"/>
      <c r="S54" s="2">
        <v>60629</v>
      </c>
      <c r="T54" s="2"/>
      <c r="U54" s="2">
        <v>940512</v>
      </c>
      <c r="V54" s="2"/>
      <c r="W54" s="2">
        <v>341661</v>
      </c>
      <c r="X54" s="2"/>
      <c r="Y54" s="2">
        <v>0</v>
      </c>
      <c r="Z54" s="2"/>
      <c r="AA54" s="2">
        <v>1306964</v>
      </c>
      <c r="AB54" s="2"/>
      <c r="AC54" s="13" t="s">
        <v>398</v>
      </c>
      <c r="AD54" s="19"/>
      <c r="AE54" s="19" t="s">
        <v>282</v>
      </c>
      <c r="AF54" s="19"/>
      <c r="AG54" s="2">
        <v>16036</v>
      </c>
      <c r="AH54" s="2"/>
      <c r="AI54" s="2">
        <v>22792</v>
      </c>
      <c r="AJ54" s="2"/>
      <c r="AK54" s="2"/>
      <c r="AL54" s="2"/>
      <c r="AM54" s="2">
        <v>0</v>
      </c>
      <c r="AN54" s="2"/>
      <c r="AO54" s="2">
        <v>230234</v>
      </c>
      <c r="AP54" s="2"/>
      <c r="AQ54" s="2">
        <v>34495</v>
      </c>
      <c r="AR54" s="2"/>
      <c r="AS54" s="2">
        <v>260577</v>
      </c>
      <c r="AT54" s="2"/>
      <c r="AU54" s="2"/>
      <c r="AV54" s="2"/>
      <c r="AW54" s="2"/>
      <c r="AX54" s="2"/>
      <c r="AY54" s="2">
        <v>0</v>
      </c>
      <c r="AZ54" s="2"/>
      <c r="BA54" s="13">
        <f t="shared" si="0"/>
        <v>11823783</v>
      </c>
      <c r="BB54" s="2"/>
      <c r="BC54" s="13">
        <f>+'St of Act-Rev'!AG55-BA54</f>
        <v>1151466</v>
      </c>
      <c r="BD54" s="2"/>
      <c r="BE54" s="2">
        <v>19642501</v>
      </c>
      <c r="BF54" s="2"/>
      <c r="BG54" s="13">
        <f t="shared" si="1"/>
        <v>20793967</v>
      </c>
      <c r="BI54" s="13">
        <f>+'St of Net Assets'!AA53-BG54</f>
        <v>0</v>
      </c>
    </row>
    <row r="55" spans="1:61">
      <c r="A55" s="13" t="s">
        <v>423</v>
      </c>
      <c r="B55" s="19"/>
      <c r="C55" s="19" t="s">
        <v>157</v>
      </c>
      <c r="D55" s="96"/>
      <c r="E55" s="19">
        <v>51607</v>
      </c>
      <c r="F55" s="96"/>
      <c r="G55" s="2">
        <v>426574</v>
      </c>
      <c r="H55" s="2"/>
      <c r="I55" s="2">
        <v>8366</v>
      </c>
      <c r="J55" s="2"/>
      <c r="K55" s="2">
        <v>3647913</v>
      </c>
      <c r="L55" s="2"/>
      <c r="M55" s="2">
        <v>133687</v>
      </c>
      <c r="N55" s="2"/>
      <c r="O55" s="2">
        <v>477110</v>
      </c>
      <c r="P55" s="2"/>
      <c r="Q55" s="2">
        <v>142617</v>
      </c>
      <c r="R55" s="2"/>
      <c r="S55" s="2">
        <v>330146</v>
      </c>
      <c r="T55" s="2"/>
      <c r="U55" s="2">
        <v>842300</v>
      </c>
      <c r="V55" s="2"/>
      <c r="W55" s="2">
        <v>456061</v>
      </c>
      <c r="X55" s="2"/>
      <c r="Y55" s="2">
        <v>101440</v>
      </c>
      <c r="Z55" s="2"/>
      <c r="AA55" s="2">
        <v>2106993</v>
      </c>
      <c r="AB55" s="2"/>
      <c r="AC55" s="13" t="s">
        <v>266</v>
      </c>
      <c r="AD55" s="19"/>
      <c r="AE55" s="19" t="s">
        <v>157</v>
      </c>
      <c r="AF55" s="19"/>
      <c r="AG55" s="2">
        <v>4471</v>
      </c>
      <c r="AH55" s="2"/>
      <c r="AI55" s="2">
        <v>185168</v>
      </c>
      <c r="AJ55" s="2"/>
      <c r="AK55" s="2"/>
      <c r="AL55" s="2"/>
      <c r="AM55" s="2">
        <v>0</v>
      </c>
      <c r="AN55" s="2"/>
      <c r="AO55" s="2">
        <f>198467+39622+31017+1175540</f>
        <v>1444646</v>
      </c>
      <c r="AP55" s="2"/>
      <c r="AQ55" s="2">
        <v>5729</v>
      </c>
      <c r="AR55" s="2"/>
      <c r="AS55" s="2">
        <v>0</v>
      </c>
      <c r="AT55" s="2"/>
      <c r="AU55" s="2"/>
      <c r="AV55" s="2"/>
      <c r="AW55" s="2"/>
      <c r="AX55" s="2"/>
      <c r="AY55" s="2">
        <v>0</v>
      </c>
      <c r="AZ55" s="2"/>
      <c r="BA55" s="13">
        <f t="shared" si="0"/>
        <v>10313221</v>
      </c>
      <c r="BB55" s="2"/>
      <c r="BC55" s="13">
        <f>+'St of Act-Rev'!AG56-BA55</f>
        <v>-689116</v>
      </c>
      <c r="BD55" s="2"/>
      <c r="BE55" s="2">
        <v>5349506</v>
      </c>
      <c r="BF55" s="2"/>
      <c r="BG55" s="13">
        <f t="shared" si="1"/>
        <v>4660390</v>
      </c>
      <c r="BI55" s="13">
        <f>+'St of Net Assets'!AA54-BG55</f>
        <v>0</v>
      </c>
    </row>
    <row r="56" spans="1:61">
      <c r="A56" s="13" t="s">
        <v>284</v>
      </c>
      <c r="B56" s="19"/>
      <c r="C56" s="19" t="s">
        <v>285</v>
      </c>
      <c r="D56" s="96"/>
      <c r="E56" s="19">
        <v>65268</v>
      </c>
      <c r="F56" s="96"/>
      <c r="G56" s="2">
        <v>231073</v>
      </c>
      <c r="H56" s="2"/>
      <c r="I56" s="2">
        <v>6260505</v>
      </c>
      <c r="J56" s="2"/>
      <c r="K56" s="2">
        <v>0</v>
      </c>
      <c r="L56" s="2"/>
      <c r="M56" s="2">
        <v>19103</v>
      </c>
      <c r="N56" s="2"/>
      <c r="O56" s="2">
        <v>770418</v>
      </c>
      <c r="P56" s="2"/>
      <c r="Q56" s="2">
        <v>249436</v>
      </c>
      <c r="R56" s="2"/>
      <c r="S56" s="2">
        <v>241966</v>
      </c>
      <c r="T56" s="2"/>
      <c r="U56" s="2">
        <v>921221</v>
      </c>
      <c r="V56" s="2"/>
      <c r="W56" s="2">
        <v>388297</v>
      </c>
      <c r="X56" s="2"/>
      <c r="Y56" s="2">
        <v>170072</v>
      </c>
      <c r="Z56" s="2"/>
      <c r="AA56" s="2">
        <v>1040655</v>
      </c>
      <c r="AB56" s="2"/>
      <c r="AC56" s="2" t="s">
        <v>284</v>
      </c>
      <c r="AD56" s="19"/>
      <c r="AE56" s="19" t="s">
        <v>285</v>
      </c>
      <c r="AF56" s="19"/>
      <c r="AG56" s="2">
        <v>12773</v>
      </c>
      <c r="AH56" s="2"/>
      <c r="AI56" s="2">
        <v>189731</v>
      </c>
      <c r="AJ56" s="2"/>
      <c r="AK56" s="2"/>
      <c r="AL56" s="2"/>
      <c r="AM56" s="2">
        <v>240186</v>
      </c>
      <c r="AN56" s="2"/>
      <c r="AO56" s="2">
        <f>585+1498055+164146</f>
        <v>1662786</v>
      </c>
      <c r="AP56" s="2"/>
      <c r="AQ56" s="2">
        <v>26287</v>
      </c>
      <c r="AR56" s="2"/>
      <c r="AS56" s="2">
        <v>15225</v>
      </c>
      <c r="AT56" s="2"/>
      <c r="AU56" s="2"/>
      <c r="AV56" s="2"/>
      <c r="AW56" s="2"/>
      <c r="AX56" s="2"/>
      <c r="AY56" s="2">
        <v>0</v>
      </c>
      <c r="AZ56" s="2"/>
      <c r="BA56" s="13">
        <f t="shared" si="0"/>
        <v>12439734</v>
      </c>
      <c r="BB56" s="2"/>
      <c r="BC56" s="13">
        <f>+'St of Act-Rev'!AG57-BA56</f>
        <v>455404</v>
      </c>
      <c r="BD56" s="2"/>
      <c r="BE56" s="2">
        <v>7940314</v>
      </c>
      <c r="BF56" s="2"/>
      <c r="BG56" s="13">
        <f t="shared" si="1"/>
        <v>8395718</v>
      </c>
      <c r="BI56" s="13">
        <f>+'St of Net Assets'!AA55-BG56</f>
        <v>0</v>
      </c>
    </row>
    <row r="57" spans="1:61">
      <c r="A57" s="13" t="s">
        <v>342</v>
      </c>
      <c r="B57" s="19"/>
      <c r="C57" s="19" t="s">
        <v>252</v>
      </c>
      <c r="D57" s="96"/>
      <c r="E57" s="19">
        <v>51631</v>
      </c>
      <c r="F57" s="96"/>
      <c r="G57" s="2">
        <v>1538362</v>
      </c>
      <c r="H57" s="2"/>
      <c r="I57" s="2">
        <v>5615</v>
      </c>
      <c r="J57" s="2"/>
      <c r="K57" s="2">
        <v>6043307</v>
      </c>
      <c r="L57" s="2"/>
      <c r="M57" s="2">
        <v>423783</v>
      </c>
      <c r="N57" s="2"/>
      <c r="O57" s="2">
        <v>1259352</v>
      </c>
      <c r="P57" s="2"/>
      <c r="Q57" s="2">
        <v>442971</v>
      </c>
      <c r="R57" s="2"/>
      <c r="S57" s="2">
        <v>66168</v>
      </c>
      <c r="T57" s="2"/>
      <c r="U57" s="2">
        <v>1797445</v>
      </c>
      <c r="V57" s="2"/>
      <c r="W57" s="2">
        <v>530418</v>
      </c>
      <c r="X57" s="2"/>
      <c r="Y57" s="2">
        <v>39693</v>
      </c>
      <c r="Z57" s="2"/>
      <c r="AA57" s="2">
        <v>1136983</v>
      </c>
      <c r="AB57" s="2"/>
      <c r="AC57" s="2" t="s">
        <v>342</v>
      </c>
      <c r="AD57" s="19"/>
      <c r="AE57" s="19" t="s">
        <v>252</v>
      </c>
      <c r="AF57" s="19"/>
      <c r="AG57" s="2">
        <v>76679</v>
      </c>
      <c r="AH57" s="2"/>
      <c r="AI57" s="2">
        <v>219513</v>
      </c>
      <c r="AJ57" s="2"/>
      <c r="AK57" s="2"/>
      <c r="AL57" s="2"/>
      <c r="AM57" s="2">
        <v>359814</v>
      </c>
      <c r="AN57" s="2"/>
      <c r="AO57" s="2">
        <f>1869+2269258</f>
        <v>2271127</v>
      </c>
      <c r="AP57" s="2"/>
      <c r="AQ57" s="2">
        <v>90962</v>
      </c>
      <c r="AR57" s="2"/>
      <c r="AS57" s="2">
        <v>282927</v>
      </c>
      <c r="AT57" s="2"/>
      <c r="AU57" s="2"/>
      <c r="AV57" s="2"/>
      <c r="AW57" s="2"/>
      <c r="AX57" s="2"/>
      <c r="AY57" s="2">
        <v>0</v>
      </c>
      <c r="AZ57" s="2"/>
      <c r="BA57" s="13">
        <f t="shared" si="0"/>
        <v>16585119</v>
      </c>
      <c r="BB57" s="2"/>
      <c r="BC57" s="13">
        <f>+'St of Act-Rev'!AG58-BA57</f>
        <v>833118</v>
      </c>
      <c r="BD57" s="2"/>
      <c r="BE57" s="2">
        <v>12579987</v>
      </c>
      <c r="BF57" s="2"/>
      <c r="BG57" s="13">
        <f t="shared" si="1"/>
        <v>13413105</v>
      </c>
      <c r="BI57" s="13">
        <f>+'St of Net Assets'!AA56-BG57</f>
        <v>0</v>
      </c>
    </row>
    <row r="58" spans="1:61">
      <c r="A58" s="13" t="s">
        <v>270</v>
      </c>
      <c r="B58" s="19"/>
      <c r="C58" s="19" t="s">
        <v>171</v>
      </c>
      <c r="D58" s="96"/>
      <c r="E58" s="19">
        <v>62802</v>
      </c>
      <c r="F58" s="96"/>
      <c r="G58" s="2">
        <v>253657</v>
      </c>
      <c r="H58" s="2"/>
      <c r="I58" s="2">
        <v>145233</v>
      </c>
      <c r="J58" s="2"/>
      <c r="K58" s="2">
        <v>3315872</v>
      </c>
      <c r="L58" s="2"/>
      <c r="M58" s="2">
        <v>340764</v>
      </c>
      <c r="N58" s="2"/>
      <c r="O58" s="2">
        <v>538959</v>
      </c>
      <c r="P58" s="2"/>
      <c r="Q58" s="2">
        <v>163697</v>
      </c>
      <c r="R58" s="2"/>
      <c r="S58" s="2">
        <v>55375</v>
      </c>
      <c r="T58" s="2"/>
      <c r="U58" s="2">
        <v>408456</v>
      </c>
      <c r="V58" s="2"/>
      <c r="W58" s="2">
        <v>450041</v>
      </c>
      <c r="X58" s="2"/>
      <c r="Y58" s="2">
        <v>2482</v>
      </c>
      <c r="Z58" s="2"/>
      <c r="AA58" s="2">
        <v>704986</v>
      </c>
      <c r="AB58" s="2"/>
      <c r="AC58" s="2" t="s">
        <v>270</v>
      </c>
      <c r="AD58" s="19"/>
      <c r="AE58" s="19" t="s">
        <v>171</v>
      </c>
      <c r="AF58" s="19"/>
      <c r="AG58" s="2">
        <v>200</v>
      </c>
      <c r="AH58" s="2"/>
      <c r="AI58" s="2">
        <v>109657</v>
      </c>
      <c r="AJ58" s="2"/>
      <c r="AK58" s="2"/>
      <c r="AL58" s="2"/>
      <c r="AM58" s="2">
        <v>0</v>
      </c>
      <c r="AN58" s="2"/>
      <c r="AO58" s="2">
        <v>198192</v>
      </c>
      <c r="AP58" s="2"/>
      <c r="AQ58" s="2">
        <v>30904</v>
      </c>
      <c r="AR58" s="2"/>
      <c r="AS58" s="2">
        <v>0</v>
      </c>
      <c r="AT58" s="2"/>
      <c r="AU58" s="2"/>
      <c r="AV58" s="2"/>
      <c r="AW58" s="2"/>
      <c r="AX58" s="2"/>
      <c r="AY58" s="2">
        <v>0</v>
      </c>
      <c r="AZ58" s="2"/>
      <c r="BA58" s="13">
        <f t="shared" si="0"/>
        <v>6718475</v>
      </c>
      <c r="BB58" s="2"/>
      <c r="BC58" s="13">
        <f>+'St of Act-Rev'!AG59-BA58</f>
        <v>1202932</v>
      </c>
      <c r="BD58" s="2"/>
      <c r="BE58" s="2">
        <v>7766068</v>
      </c>
      <c r="BF58" s="2"/>
      <c r="BG58" s="13">
        <f t="shared" si="1"/>
        <v>8969000</v>
      </c>
      <c r="BI58" s="13">
        <f>+'St of Net Assets'!AA57-BG58</f>
        <v>0</v>
      </c>
    </row>
    <row r="59" spans="1:61">
      <c r="A59" s="13" t="s">
        <v>287</v>
      </c>
      <c r="B59" s="19"/>
      <c r="C59" s="19" t="s">
        <v>220</v>
      </c>
      <c r="D59" s="96"/>
      <c r="E59" s="19">
        <v>62125</v>
      </c>
      <c r="F59" s="96"/>
      <c r="G59" s="2">
        <v>2093801</v>
      </c>
      <c r="H59" s="2"/>
      <c r="I59" s="2">
        <v>1196867</v>
      </c>
      <c r="J59" s="2"/>
      <c r="K59" s="2">
        <v>9396757</v>
      </c>
      <c r="L59" s="2"/>
      <c r="M59" s="2">
        <f>1518777+49918</f>
        <v>1568695</v>
      </c>
      <c r="N59" s="2"/>
      <c r="O59" s="2">
        <v>1228067</v>
      </c>
      <c r="P59" s="2"/>
      <c r="Q59" s="2">
        <v>221801</v>
      </c>
      <c r="R59" s="2"/>
      <c r="S59" s="2">
        <v>33115</v>
      </c>
      <c r="T59" s="2"/>
      <c r="U59" s="2">
        <v>2375391</v>
      </c>
      <c r="V59" s="2"/>
      <c r="W59" s="2">
        <v>612407</v>
      </c>
      <c r="X59" s="2"/>
      <c r="Y59" s="2">
        <v>166207</v>
      </c>
      <c r="Z59" s="2"/>
      <c r="AA59" s="2">
        <v>1556813</v>
      </c>
      <c r="AB59" s="2"/>
      <c r="AC59" s="2" t="s">
        <v>287</v>
      </c>
      <c r="AD59" s="19"/>
      <c r="AE59" s="19" t="s">
        <v>220</v>
      </c>
      <c r="AF59" s="19"/>
      <c r="AG59" s="2">
        <v>61434</v>
      </c>
      <c r="AH59" s="2"/>
      <c r="AI59" s="2">
        <v>834123</v>
      </c>
      <c r="AJ59" s="2"/>
      <c r="AK59" s="2"/>
      <c r="AL59" s="2"/>
      <c r="AM59" s="2">
        <v>0</v>
      </c>
      <c r="AN59" s="2"/>
      <c r="AO59" s="2">
        <v>1359724</v>
      </c>
      <c r="AP59" s="2"/>
      <c r="AQ59" s="2">
        <v>62131</v>
      </c>
      <c r="AR59" s="2"/>
      <c r="AS59" s="2">
        <v>43790</v>
      </c>
      <c r="AT59" s="2"/>
      <c r="AU59" s="2"/>
      <c r="AV59" s="2"/>
      <c r="AW59" s="2"/>
      <c r="AX59" s="2"/>
      <c r="AY59" s="2">
        <v>0</v>
      </c>
      <c r="AZ59" s="2"/>
      <c r="BA59" s="13">
        <f t="shared" si="0"/>
        <v>22811123</v>
      </c>
      <c r="BB59" s="2"/>
      <c r="BC59" s="13">
        <f>+'St of Act-Rev'!AG60-BA59</f>
        <v>-748249</v>
      </c>
      <c r="BD59" s="2"/>
      <c r="BE59" s="2">
        <v>20654980</v>
      </c>
      <c r="BF59" s="2"/>
      <c r="BG59" s="13">
        <f t="shared" si="1"/>
        <v>19906731</v>
      </c>
      <c r="BI59" s="13">
        <f>+'St of Net Assets'!AA58-BG59</f>
        <v>0</v>
      </c>
    </row>
    <row r="60" spans="1:61">
      <c r="A60" s="13" t="s">
        <v>343</v>
      </c>
      <c r="B60" s="19"/>
      <c r="C60" s="19" t="s">
        <v>240</v>
      </c>
      <c r="D60" s="96"/>
      <c r="E60" s="19">
        <v>51458</v>
      </c>
      <c r="F60" s="96"/>
      <c r="G60" s="2">
        <v>171075</v>
      </c>
      <c r="H60" s="2"/>
      <c r="I60" s="2">
        <v>130227</v>
      </c>
      <c r="J60" s="2"/>
      <c r="K60" s="2">
        <v>8952554</v>
      </c>
      <c r="L60" s="2"/>
      <c r="M60" s="2">
        <v>590597</v>
      </c>
      <c r="N60" s="2"/>
      <c r="O60" s="2">
        <v>587520</v>
      </c>
      <c r="P60" s="2"/>
      <c r="Q60" s="2">
        <v>777570</v>
      </c>
      <c r="R60" s="2"/>
      <c r="S60" s="2">
        <v>78435</v>
      </c>
      <c r="T60" s="2"/>
      <c r="U60" s="2">
        <v>801476</v>
      </c>
      <c r="V60" s="2"/>
      <c r="W60" s="2">
        <v>500400</v>
      </c>
      <c r="X60" s="2"/>
      <c r="Y60" s="2">
        <v>0</v>
      </c>
      <c r="Z60" s="2"/>
      <c r="AA60" s="2">
        <v>1557456</v>
      </c>
      <c r="AB60" s="2"/>
      <c r="AC60" s="2" t="s">
        <v>343</v>
      </c>
      <c r="AD60" s="19"/>
      <c r="AE60" s="19" t="s">
        <v>240</v>
      </c>
      <c r="AF60" s="19"/>
      <c r="AG60" s="2">
        <v>69907</v>
      </c>
      <c r="AH60" s="2"/>
      <c r="AI60" s="2">
        <v>0</v>
      </c>
      <c r="AJ60" s="2"/>
      <c r="AK60" s="2"/>
      <c r="AL60" s="2"/>
      <c r="AM60" s="2">
        <v>149223</v>
      </c>
      <c r="AN60" s="2"/>
      <c r="AO60" s="2">
        <v>0</v>
      </c>
      <c r="AP60" s="2"/>
      <c r="AQ60" s="2">
        <v>8748</v>
      </c>
      <c r="AR60" s="2"/>
      <c r="AS60" s="2">
        <v>0</v>
      </c>
      <c r="AT60" s="2"/>
      <c r="AU60" s="2"/>
      <c r="AV60" s="2"/>
      <c r="AW60" s="2"/>
      <c r="AX60" s="2"/>
      <c r="AY60" s="2">
        <v>66422</v>
      </c>
      <c r="AZ60" s="2"/>
      <c r="BA60" s="13">
        <f t="shared" si="0"/>
        <v>14441610</v>
      </c>
      <c r="BB60" s="2"/>
      <c r="BC60" s="13">
        <f>+'St of Act-Rev'!AG61-BA60</f>
        <v>1218422</v>
      </c>
      <c r="BD60" s="2"/>
      <c r="BE60" s="2">
        <v>22530347</v>
      </c>
      <c r="BF60" s="2"/>
      <c r="BG60" s="13">
        <f t="shared" si="1"/>
        <v>23748769</v>
      </c>
      <c r="BI60" s="13">
        <f>+'St of Net Assets'!AA59-BG60</f>
        <v>0</v>
      </c>
    </row>
    <row r="61" spans="1:61">
      <c r="A61" s="13" t="s">
        <v>344</v>
      </c>
      <c r="B61" s="19"/>
      <c r="C61" s="19" t="s">
        <v>256</v>
      </c>
      <c r="D61" s="96"/>
      <c r="E61" s="19">
        <v>51672</v>
      </c>
      <c r="F61" s="96"/>
      <c r="G61" s="2">
        <v>0</v>
      </c>
      <c r="H61" s="2"/>
      <c r="I61" s="2">
        <v>0</v>
      </c>
      <c r="J61" s="2"/>
      <c r="K61" s="2">
        <v>4992566</v>
      </c>
      <c r="L61" s="2"/>
      <c r="M61" s="2">
        <v>781751</v>
      </c>
      <c r="N61" s="2"/>
      <c r="O61" s="2">
        <v>466914</v>
      </c>
      <c r="P61" s="2"/>
      <c r="Q61" s="2">
        <v>248901</v>
      </c>
      <c r="R61" s="2"/>
      <c r="S61" s="2">
        <v>84757</v>
      </c>
      <c r="T61" s="2"/>
      <c r="U61" s="2">
        <v>582818</v>
      </c>
      <c r="V61" s="2"/>
      <c r="W61" s="2">
        <v>361657</v>
      </c>
      <c r="X61" s="2"/>
      <c r="Y61" s="2">
        <v>0</v>
      </c>
      <c r="Z61" s="2"/>
      <c r="AA61" s="2">
        <v>647539</v>
      </c>
      <c r="AB61" s="2"/>
      <c r="AC61" s="2" t="s">
        <v>344</v>
      </c>
      <c r="AD61" s="19"/>
      <c r="AE61" s="19" t="s">
        <v>256</v>
      </c>
      <c r="AF61" s="19"/>
      <c r="AG61" s="2">
        <v>10440</v>
      </c>
      <c r="AH61" s="2"/>
      <c r="AI61" s="2">
        <v>497441</v>
      </c>
      <c r="AJ61" s="2"/>
      <c r="AK61" s="2"/>
      <c r="AL61" s="2"/>
      <c r="AM61" s="2">
        <v>250764</v>
      </c>
      <c r="AN61" s="2"/>
      <c r="AO61" s="2">
        <f>11710+345440</f>
        <v>357150</v>
      </c>
      <c r="AP61" s="2"/>
      <c r="AQ61" s="2">
        <v>26550</v>
      </c>
      <c r="AR61" s="2"/>
      <c r="AS61" s="2">
        <v>26678</v>
      </c>
      <c r="AT61" s="2"/>
      <c r="AU61" s="2"/>
      <c r="AV61" s="2"/>
      <c r="AW61" s="2"/>
      <c r="AX61" s="2"/>
      <c r="AY61" s="2">
        <v>0</v>
      </c>
      <c r="AZ61" s="2"/>
      <c r="BA61" s="13">
        <f t="shared" si="0"/>
        <v>9335926</v>
      </c>
      <c r="BB61" s="2"/>
      <c r="BC61" s="13">
        <f>+'St of Act-Rev'!AG62-BA61</f>
        <v>377040</v>
      </c>
      <c r="BD61" s="2"/>
      <c r="BE61" s="2">
        <v>9478518</v>
      </c>
      <c r="BF61" s="2"/>
      <c r="BG61" s="13">
        <f t="shared" si="1"/>
        <v>9855558</v>
      </c>
      <c r="BI61" s="13">
        <f>+'St of Net Assets'!AA60-BG61</f>
        <v>0</v>
      </c>
    </row>
    <row r="62" spans="1:61">
      <c r="A62" s="13" t="s">
        <v>291</v>
      </c>
      <c r="B62" s="19"/>
      <c r="C62" s="19" t="s">
        <v>258</v>
      </c>
      <c r="D62" s="96"/>
      <c r="E62" s="19">
        <v>51474</v>
      </c>
      <c r="F62" s="96"/>
      <c r="G62" s="2">
        <v>1922</v>
      </c>
      <c r="H62" s="2"/>
      <c r="I62" s="2">
        <v>160666</v>
      </c>
      <c r="J62" s="2"/>
      <c r="K62" s="2">
        <v>8620054</v>
      </c>
      <c r="L62" s="2"/>
      <c r="M62" s="2">
        <v>196112</v>
      </c>
      <c r="N62" s="2"/>
      <c r="O62" s="2">
        <v>1140702</v>
      </c>
      <c r="P62" s="2"/>
      <c r="Q62" s="2">
        <v>711434</v>
      </c>
      <c r="R62" s="2"/>
      <c r="S62" s="2">
        <v>22477</v>
      </c>
      <c r="T62" s="2"/>
      <c r="U62" s="2">
        <v>1572410</v>
      </c>
      <c r="V62" s="2"/>
      <c r="W62" s="2">
        <v>574326</v>
      </c>
      <c r="X62" s="2"/>
      <c r="Y62" s="2">
        <v>74627</v>
      </c>
      <c r="Z62" s="2"/>
      <c r="AA62" s="2">
        <v>949861</v>
      </c>
      <c r="AB62" s="2"/>
      <c r="AC62" s="2" t="s">
        <v>291</v>
      </c>
      <c r="AD62" s="19"/>
      <c r="AE62" s="19" t="s">
        <v>258</v>
      </c>
      <c r="AF62" s="19"/>
      <c r="AG62" s="2">
        <v>188166</v>
      </c>
      <c r="AH62" s="2"/>
      <c r="AI62" s="2">
        <v>1954668</v>
      </c>
      <c r="AJ62" s="2"/>
      <c r="AK62" s="2"/>
      <c r="AL62" s="2"/>
      <c r="AM62" s="2">
        <v>323085</v>
      </c>
      <c r="AN62" s="2"/>
      <c r="AO62" s="2">
        <f>49502+158463</f>
        <v>207965</v>
      </c>
      <c r="AP62" s="2"/>
      <c r="AQ62" s="2">
        <v>71251</v>
      </c>
      <c r="AR62" s="2"/>
      <c r="AS62" s="2">
        <v>127264</v>
      </c>
      <c r="AT62" s="2"/>
      <c r="AU62" s="2"/>
      <c r="AV62" s="2"/>
      <c r="AW62" s="2"/>
      <c r="AX62" s="2"/>
      <c r="AY62" s="2">
        <v>0</v>
      </c>
      <c r="AZ62" s="2"/>
      <c r="BA62" s="13">
        <f t="shared" si="0"/>
        <v>16896990</v>
      </c>
      <c r="BB62" s="2"/>
      <c r="BC62" s="13">
        <f>+'St of Act-Rev'!AG63-BA62</f>
        <v>999502</v>
      </c>
      <c r="BD62" s="2"/>
      <c r="BE62" s="2">
        <v>14203846</v>
      </c>
      <c r="BF62" s="2"/>
      <c r="BG62" s="13">
        <f t="shared" si="1"/>
        <v>15203348</v>
      </c>
      <c r="BI62" s="13">
        <f>+'St of Net Assets'!AA61-BG62</f>
        <v>0</v>
      </c>
    </row>
    <row r="63" spans="1:61">
      <c r="A63" s="13" t="s">
        <v>372</v>
      </c>
      <c r="B63" s="19"/>
      <c r="C63" s="19" t="s">
        <v>260</v>
      </c>
      <c r="D63" s="96"/>
      <c r="E63" s="19">
        <v>51698</v>
      </c>
      <c r="F63" s="96"/>
      <c r="G63" s="2">
        <v>750480</v>
      </c>
      <c r="H63" s="2"/>
      <c r="I63" s="2">
        <v>2283511</v>
      </c>
      <c r="J63" s="2"/>
      <c r="K63" s="2">
        <v>160013</v>
      </c>
      <c r="L63" s="2"/>
      <c r="M63" s="2">
        <v>0</v>
      </c>
      <c r="N63" s="2"/>
      <c r="O63" s="2">
        <v>384441</v>
      </c>
      <c r="P63" s="2"/>
      <c r="Q63" s="2">
        <v>363323</v>
      </c>
      <c r="R63" s="2"/>
      <c r="S63" s="2">
        <v>19054</v>
      </c>
      <c r="T63" s="2"/>
      <c r="U63" s="2">
        <v>481022</v>
      </c>
      <c r="V63" s="2"/>
      <c r="W63" s="2">
        <v>320296</v>
      </c>
      <c r="X63" s="2"/>
      <c r="Y63" s="2">
        <v>42318</v>
      </c>
      <c r="Z63" s="2"/>
      <c r="AA63" s="2">
        <v>709082</v>
      </c>
      <c r="AB63" s="2"/>
      <c r="AC63" s="13" t="s">
        <v>292</v>
      </c>
      <c r="AD63" s="19"/>
      <c r="AE63" s="19" t="s">
        <v>260</v>
      </c>
      <c r="AF63" s="19"/>
      <c r="AG63" s="2">
        <v>7242</v>
      </c>
      <c r="AH63" s="2"/>
      <c r="AI63" s="2">
        <v>354498</v>
      </c>
      <c r="AJ63" s="2"/>
      <c r="AK63" s="2"/>
      <c r="AL63" s="2"/>
      <c r="AM63" s="2">
        <v>175297</v>
      </c>
      <c r="AN63" s="2"/>
      <c r="AO63" s="2">
        <f>238420+2047665</f>
        <v>2286085</v>
      </c>
      <c r="AP63" s="2"/>
      <c r="AQ63" s="2">
        <v>7088</v>
      </c>
      <c r="AR63" s="2"/>
      <c r="AS63" s="2">
        <v>72630</v>
      </c>
      <c r="AT63" s="2"/>
      <c r="AU63" s="2"/>
      <c r="AV63" s="2"/>
      <c r="AW63" s="2"/>
      <c r="AX63" s="2"/>
      <c r="AY63" s="2">
        <v>0</v>
      </c>
      <c r="AZ63" s="2"/>
      <c r="BA63" s="13">
        <f t="shared" si="0"/>
        <v>8416380</v>
      </c>
      <c r="BB63" s="2"/>
      <c r="BC63" s="13">
        <f>+'St of Act-Rev'!AG64-BA63</f>
        <v>390107</v>
      </c>
      <c r="BD63" s="2"/>
      <c r="BE63" s="2">
        <v>8464137</v>
      </c>
      <c r="BF63" s="2"/>
      <c r="BG63" s="13">
        <f t="shared" si="1"/>
        <v>8854244</v>
      </c>
      <c r="BI63" s="13">
        <f>+'St of Net Assets'!AA62-BG63</f>
        <v>0</v>
      </c>
    </row>
    <row r="64" spans="1:61">
      <c r="A64" s="2" t="s">
        <v>345</v>
      </c>
      <c r="B64" s="19"/>
      <c r="C64" s="19" t="s">
        <v>262</v>
      </c>
      <c r="D64" s="96"/>
      <c r="E64" s="19">
        <v>51714</v>
      </c>
      <c r="F64" s="96"/>
      <c r="G64" s="2">
        <v>1822071</v>
      </c>
      <c r="H64" s="2"/>
      <c r="I64" s="2">
        <v>2266</v>
      </c>
      <c r="J64" s="2"/>
      <c r="K64" s="2">
        <v>6994722</v>
      </c>
      <c r="L64" s="2"/>
      <c r="M64" s="2">
        <v>208225</v>
      </c>
      <c r="N64" s="2"/>
      <c r="O64" s="2">
        <v>617998</v>
      </c>
      <c r="P64" s="2"/>
      <c r="Q64" s="2">
        <v>1692561</v>
      </c>
      <c r="R64" s="2"/>
      <c r="S64" s="2">
        <v>57800</v>
      </c>
      <c r="T64" s="2"/>
      <c r="U64" s="2">
        <v>1049871</v>
      </c>
      <c r="V64" s="2"/>
      <c r="W64" s="2">
        <v>470968</v>
      </c>
      <c r="X64" s="2"/>
      <c r="Y64" s="2">
        <v>0</v>
      </c>
      <c r="Z64" s="2"/>
      <c r="AA64" s="2">
        <v>1203878</v>
      </c>
      <c r="AB64" s="2"/>
      <c r="AC64" s="2" t="s">
        <v>345</v>
      </c>
      <c r="AD64" s="19"/>
      <c r="AE64" s="19" t="s">
        <v>262</v>
      </c>
      <c r="AF64" s="19"/>
      <c r="AG64" s="2">
        <v>58475</v>
      </c>
      <c r="AH64" s="2"/>
      <c r="AI64" s="2">
        <v>93097</v>
      </c>
      <c r="AJ64" s="2"/>
      <c r="AK64" s="2"/>
      <c r="AL64" s="2"/>
      <c r="AM64" s="2">
        <v>213187</v>
      </c>
      <c r="AN64" s="2"/>
      <c r="AO64" s="2">
        <v>319128</v>
      </c>
      <c r="AP64" s="2"/>
      <c r="AQ64" s="2">
        <v>69</v>
      </c>
      <c r="AR64" s="2"/>
      <c r="AS64" s="2">
        <v>474538</v>
      </c>
      <c r="AT64" s="2"/>
      <c r="AU64" s="2"/>
      <c r="AV64" s="2"/>
      <c r="AW64" s="2"/>
      <c r="AX64" s="2"/>
      <c r="AY64" s="2">
        <v>0</v>
      </c>
      <c r="AZ64" s="2"/>
      <c r="BA64" s="13">
        <f t="shared" si="0"/>
        <v>15278854</v>
      </c>
      <c r="BB64" s="2"/>
      <c r="BC64" s="13">
        <f>+'St of Act-Rev'!AG65-BA64</f>
        <v>19602965</v>
      </c>
      <c r="BD64" s="2"/>
      <c r="BE64" s="2">
        <v>11386359</v>
      </c>
      <c r="BF64" s="2"/>
      <c r="BG64" s="13">
        <f t="shared" si="1"/>
        <v>30989324</v>
      </c>
      <c r="BI64" s="13">
        <f>+'St of Net Assets'!AA63-BG64</f>
        <v>0</v>
      </c>
    </row>
    <row r="65" spans="1:63">
      <c r="A65" s="2"/>
      <c r="B65" s="19"/>
      <c r="C65" s="19"/>
      <c r="E65" s="19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2"/>
      <c r="AC65" s="2"/>
      <c r="AD65" s="19"/>
      <c r="AE65" s="19"/>
      <c r="AF65" s="1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13"/>
      <c r="BI65" s="13"/>
    </row>
    <row r="66" spans="1:63">
      <c r="A66" s="13"/>
      <c r="B66" s="19"/>
      <c r="C66" s="13"/>
      <c r="E66" s="19"/>
      <c r="AA66" s="57" t="s">
        <v>348</v>
      </c>
      <c r="BC66" s="2"/>
      <c r="BG66" s="57" t="s">
        <v>348</v>
      </c>
      <c r="BI66" s="13"/>
    </row>
    <row r="67" spans="1:63">
      <c r="BC67" s="2"/>
      <c r="BI67" s="13"/>
    </row>
    <row r="68" spans="1:63">
      <c r="BC68" s="2"/>
      <c r="BI68" s="13"/>
    </row>
    <row r="69" spans="1:63">
      <c r="BC69" s="2"/>
      <c r="BI69" s="13"/>
    </row>
    <row r="70" spans="1:63">
      <c r="A70" s="56" t="s">
        <v>347</v>
      </c>
      <c r="B70" s="19"/>
      <c r="C70" s="19"/>
      <c r="E70" s="19"/>
      <c r="AC70" s="56" t="s">
        <v>347</v>
      </c>
      <c r="AD70" s="19"/>
      <c r="AE70" s="19"/>
      <c r="AF70" s="19"/>
      <c r="BC70" s="2"/>
      <c r="BI70" s="13"/>
    </row>
    <row r="71" spans="1:63" s="65" customFormat="1" hidden="1">
      <c r="A71" s="13" t="s">
        <v>415</v>
      </c>
      <c r="B71" s="13"/>
      <c r="C71" s="13" t="s">
        <v>365</v>
      </c>
      <c r="E71" s="60">
        <v>45849</v>
      </c>
      <c r="G71" s="81">
        <v>341630</v>
      </c>
      <c r="H71" s="81"/>
      <c r="I71" s="81">
        <v>4082596</v>
      </c>
      <c r="J71" s="81"/>
      <c r="K71" s="81">
        <v>0</v>
      </c>
      <c r="L71" s="81"/>
      <c r="M71" s="81">
        <v>0</v>
      </c>
      <c r="N71" s="81"/>
      <c r="O71" s="81">
        <v>1585760</v>
      </c>
      <c r="P71" s="81"/>
      <c r="Q71" s="81">
        <v>498760</v>
      </c>
      <c r="R71" s="81"/>
      <c r="S71" s="81">
        <v>13859</v>
      </c>
      <c r="T71" s="81"/>
      <c r="U71" s="81">
        <v>316354</v>
      </c>
      <c r="V71" s="81"/>
      <c r="W71" s="81">
        <v>151610</v>
      </c>
      <c r="X71" s="81"/>
      <c r="Y71" s="81">
        <v>906</v>
      </c>
      <c r="Z71" s="81"/>
      <c r="AA71" s="81">
        <v>375</v>
      </c>
      <c r="AB71" s="81"/>
      <c r="AC71" s="60" t="s">
        <v>160</v>
      </c>
      <c r="AD71" s="60"/>
      <c r="AE71" s="60" t="s">
        <v>156</v>
      </c>
      <c r="AF71" s="60"/>
      <c r="AG71" s="81">
        <v>141358</v>
      </c>
      <c r="AH71" s="81"/>
      <c r="AI71" s="81">
        <v>7200</v>
      </c>
      <c r="AJ71" s="81"/>
      <c r="AK71" s="81"/>
      <c r="AL71" s="81"/>
      <c r="AM71" s="81"/>
      <c r="AN71" s="81"/>
      <c r="AO71" s="81">
        <v>3854</v>
      </c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>
        <f>SUM(G71:AZ71)</f>
        <v>7144262</v>
      </c>
      <c r="BB71" s="81"/>
      <c r="BC71" s="81">
        <f>+'St of Act-Rev'!AG69-BA71</f>
        <v>-51016</v>
      </c>
      <c r="BD71" s="81"/>
      <c r="BE71" s="81">
        <v>721581</v>
      </c>
      <c r="BF71" s="81"/>
      <c r="BG71" s="81">
        <f>+BC71+BE71</f>
        <v>670565</v>
      </c>
      <c r="BH71" s="13"/>
      <c r="BI71" s="13">
        <f>+'St of Net Assets'!AA67-BG71</f>
        <v>0</v>
      </c>
      <c r="BJ71" s="86"/>
      <c r="BK71" s="60" t="s">
        <v>400</v>
      </c>
    </row>
    <row r="72" spans="1:63" s="65" customFormat="1" hidden="1">
      <c r="A72" s="13" t="s">
        <v>416</v>
      </c>
      <c r="B72" s="13"/>
      <c r="C72" s="13" t="s">
        <v>156</v>
      </c>
      <c r="E72" s="60"/>
      <c r="G72" s="81">
        <v>702524</v>
      </c>
      <c r="H72" s="81"/>
      <c r="I72" s="81">
        <v>2121163</v>
      </c>
      <c r="J72" s="81"/>
      <c r="K72" s="81">
        <v>0</v>
      </c>
      <c r="L72" s="81"/>
      <c r="M72" s="81">
        <v>145379</v>
      </c>
      <c r="N72" s="81"/>
      <c r="O72" s="81">
        <v>1305186</v>
      </c>
      <c r="P72" s="81"/>
      <c r="Q72" s="81">
        <v>2361253</v>
      </c>
      <c r="R72" s="81"/>
      <c r="S72" s="81">
        <v>41285</v>
      </c>
      <c r="T72" s="81"/>
      <c r="U72" s="81">
        <v>922694</v>
      </c>
      <c r="V72" s="81"/>
      <c r="W72" s="81">
        <v>275942</v>
      </c>
      <c r="X72" s="81"/>
      <c r="Y72" s="81">
        <v>0</v>
      </c>
      <c r="Z72" s="81"/>
      <c r="AA72" s="81">
        <v>53552</v>
      </c>
      <c r="AB72" s="81"/>
      <c r="AC72" s="60" t="s">
        <v>367</v>
      </c>
      <c r="AD72" s="60"/>
      <c r="AE72" s="60" t="s">
        <v>156</v>
      </c>
      <c r="AF72" s="60"/>
      <c r="AG72" s="81">
        <v>9130</v>
      </c>
      <c r="AH72" s="81"/>
      <c r="AI72" s="81">
        <v>16730</v>
      </c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>
        <f>SUM(G72:AZ72)</f>
        <v>7954838</v>
      </c>
      <c r="BB72" s="81"/>
      <c r="BC72" s="81">
        <f>+'St of Act-Rev'!AG70-BA72</f>
        <v>-412784</v>
      </c>
      <c r="BD72" s="81"/>
      <c r="BE72" s="81">
        <v>3219820</v>
      </c>
      <c r="BF72" s="81"/>
      <c r="BG72" s="81">
        <f>+BC72+BE72</f>
        <v>2807036</v>
      </c>
      <c r="BH72" s="13"/>
      <c r="BI72" s="13">
        <f>+'St of Net Assets'!AA68-BG72</f>
        <v>0</v>
      </c>
      <c r="BJ72" s="86"/>
      <c r="BK72" s="60" t="s">
        <v>400</v>
      </c>
    </row>
    <row r="73" spans="1:63" s="65" customFormat="1">
      <c r="A73" s="60" t="s">
        <v>161</v>
      </c>
      <c r="B73" s="60"/>
      <c r="C73" s="60" t="s">
        <v>157</v>
      </c>
      <c r="E73" s="60">
        <v>135145</v>
      </c>
      <c r="G73" s="81">
        <v>1651965</v>
      </c>
      <c r="H73" s="81"/>
      <c r="I73" s="81">
        <v>2047863</v>
      </c>
      <c r="J73" s="81"/>
      <c r="K73" s="81">
        <v>28398</v>
      </c>
      <c r="L73" s="81"/>
      <c r="M73" s="81">
        <f>72939+74947</f>
        <v>147886</v>
      </c>
      <c r="N73" s="81"/>
      <c r="O73" s="81">
        <v>1100125</v>
      </c>
      <c r="P73" s="81"/>
      <c r="Q73" s="81">
        <v>922110</v>
      </c>
      <c r="R73" s="81"/>
      <c r="S73" s="81">
        <v>94218</v>
      </c>
      <c r="T73" s="81"/>
      <c r="U73" s="81">
        <v>613518</v>
      </c>
      <c r="V73" s="81"/>
      <c r="W73" s="81">
        <v>408093</v>
      </c>
      <c r="X73" s="81"/>
      <c r="Y73" s="81">
        <v>378</v>
      </c>
      <c r="Z73" s="81"/>
      <c r="AA73" s="81">
        <v>156110</v>
      </c>
      <c r="AB73" s="81"/>
      <c r="AC73" s="60" t="s">
        <v>161</v>
      </c>
      <c r="AD73" s="60"/>
      <c r="AE73" s="60" t="s">
        <v>157</v>
      </c>
      <c r="AF73" s="60"/>
      <c r="AG73" s="81">
        <v>708125</v>
      </c>
      <c r="AH73" s="81"/>
      <c r="AI73" s="81">
        <v>55258</v>
      </c>
      <c r="AJ73" s="81"/>
      <c r="AK73" s="81"/>
      <c r="AL73" s="81"/>
      <c r="AM73" s="81">
        <v>0</v>
      </c>
      <c r="AN73" s="81"/>
      <c r="AO73" s="81">
        <v>319853</v>
      </c>
      <c r="AP73" s="81"/>
      <c r="AQ73" s="81">
        <v>1500</v>
      </c>
      <c r="AR73" s="81"/>
      <c r="AS73" s="81">
        <v>0</v>
      </c>
      <c r="AT73" s="81"/>
      <c r="AU73" s="81"/>
      <c r="AV73" s="81"/>
      <c r="AW73" s="81"/>
      <c r="AX73" s="81"/>
      <c r="AY73" s="81">
        <v>0</v>
      </c>
      <c r="AZ73" s="81"/>
      <c r="BA73" s="81">
        <f>SUM(G73:AZ73)</f>
        <v>8255400</v>
      </c>
      <c r="BB73" s="81"/>
      <c r="BC73" s="81">
        <f>+'St of Act-Rev'!AG71-BA73</f>
        <v>101627</v>
      </c>
      <c r="BD73" s="81"/>
      <c r="BE73" s="81">
        <v>2963833</v>
      </c>
      <c r="BF73" s="81"/>
      <c r="BG73" s="81">
        <f>+BC73+BE73</f>
        <v>3065460</v>
      </c>
      <c r="BH73" s="13"/>
      <c r="BI73" s="13">
        <f>+'St of Net Assets'!AA69-BG73</f>
        <v>0</v>
      </c>
      <c r="BJ73" s="86"/>
      <c r="BK73" s="13"/>
    </row>
    <row r="74" spans="1:63" s="65" customFormat="1" hidden="1">
      <c r="A74" s="13" t="s">
        <v>417</v>
      </c>
      <c r="B74" s="13"/>
      <c r="C74" s="13" t="s">
        <v>369</v>
      </c>
      <c r="E74" s="60"/>
      <c r="G74" s="13">
        <v>1491768</v>
      </c>
      <c r="H74" s="13"/>
      <c r="I74" s="13">
        <v>2988059</v>
      </c>
      <c r="J74" s="13"/>
      <c r="K74" s="13"/>
      <c r="L74" s="13"/>
      <c r="M74" s="13"/>
      <c r="N74" s="13"/>
      <c r="O74" s="13">
        <v>1600758</v>
      </c>
      <c r="P74" s="13"/>
      <c r="Q74" s="13">
        <v>724856</v>
      </c>
      <c r="R74" s="13"/>
      <c r="S74" s="13">
        <v>19316</v>
      </c>
      <c r="T74" s="13"/>
      <c r="U74" s="13">
        <v>1865741</v>
      </c>
      <c r="V74" s="13"/>
      <c r="W74" s="13">
        <v>271496</v>
      </c>
      <c r="X74" s="13"/>
      <c r="Y74" s="13"/>
      <c r="Z74" s="13"/>
      <c r="AA74" s="13">
        <v>90565</v>
      </c>
      <c r="AB74" s="13"/>
      <c r="AC74" s="13" t="s">
        <v>368</v>
      </c>
      <c r="AD74" s="13"/>
      <c r="AE74" s="13" t="s">
        <v>369</v>
      </c>
      <c r="AF74" s="13"/>
      <c r="AG74" s="13">
        <v>52074</v>
      </c>
      <c r="AH74" s="13"/>
      <c r="AI74" s="13">
        <v>64834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>
        <f>44333+9600</f>
        <v>53933</v>
      </c>
      <c r="AZ74" s="13"/>
      <c r="BA74" s="13">
        <f>SUM(G74:AZ74)</f>
        <v>9223400</v>
      </c>
      <c r="BB74" s="13"/>
      <c r="BC74" s="13">
        <f>+'St of Act-Rev'!AG72-BA74</f>
        <v>-134241</v>
      </c>
      <c r="BD74" s="13"/>
      <c r="BE74" s="13">
        <v>2467342</v>
      </c>
      <c r="BF74" s="13"/>
      <c r="BG74" s="13">
        <f>+BC74+BE74</f>
        <v>2333101</v>
      </c>
      <c r="BH74" s="13"/>
      <c r="BI74" s="13">
        <f>+'St of Net Assets'!AA70-BG74</f>
        <v>0</v>
      </c>
      <c r="BJ74" s="86"/>
      <c r="BK74" s="60" t="s">
        <v>400</v>
      </c>
    </row>
    <row r="75" spans="1:63">
      <c r="A75" s="19" t="s">
        <v>163</v>
      </c>
      <c r="B75" s="19"/>
      <c r="C75" s="19" t="s">
        <v>164</v>
      </c>
      <c r="E75" s="19">
        <v>46029</v>
      </c>
      <c r="G75" s="2">
        <v>518971</v>
      </c>
      <c r="H75" s="2"/>
      <c r="I75" s="2">
        <v>1582599</v>
      </c>
      <c r="J75" s="2"/>
      <c r="K75" s="2">
        <v>0</v>
      </c>
      <c r="L75" s="2"/>
      <c r="M75" s="2">
        <v>0</v>
      </c>
      <c r="N75" s="2"/>
      <c r="O75" s="2">
        <v>1150579</v>
      </c>
      <c r="P75" s="2"/>
      <c r="Q75" s="2">
        <v>545773</v>
      </c>
      <c r="R75" s="2"/>
      <c r="S75" s="2">
        <v>27349</v>
      </c>
      <c r="T75" s="2"/>
      <c r="U75" s="2">
        <v>242398</v>
      </c>
      <c r="V75" s="2"/>
      <c r="W75" s="2">
        <v>192506</v>
      </c>
      <c r="X75" s="2"/>
      <c r="Y75" s="2">
        <v>0</v>
      </c>
      <c r="Z75" s="2"/>
      <c r="AA75" s="2">
        <v>52715</v>
      </c>
      <c r="AB75" s="2"/>
      <c r="AC75" s="19" t="s">
        <v>163</v>
      </c>
      <c r="AD75" s="19"/>
      <c r="AE75" s="19" t="s">
        <v>164</v>
      </c>
      <c r="AF75" s="19"/>
      <c r="AG75" s="2">
        <v>0</v>
      </c>
      <c r="AH75" s="2"/>
      <c r="AI75" s="2">
        <v>251450</v>
      </c>
      <c r="AJ75" s="2"/>
      <c r="AK75" s="2"/>
      <c r="AL75" s="2"/>
      <c r="AM75" s="2">
        <v>0</v>
      </c>
      <c r="AN75" s="2"/>
      <c r="AO75" s="2">
        <v>21270</v>
      </c>
      <c r="AP75" s="2"/>
      <c r="AQ75" s="2">
        <v>0</v>
      </c>
      <c r="AR75" s="2"/>
      <c r="AS75" s="2">
        <v>0</v>
      </c>
      <c r="AT75" s="2"/>
      <c r="AU75" s="2"/>
      <c r="AV75" s="2"/>
      <c r="AW75" s="2"/>
      <c r="AX75" s="2"/>
      <c r="AY75" s="2">
        <v>0</v>
      </c>
      <c r="AZ75" s="2"/>
      <c r="BA75" s="2">
        <f>SUM(G75:AZ75)</f>
        <v>4585610</v>
      </c>
      <c r="BB75" s="2"/>
      <c r="BC75" s="2">
        <f>+'St of Act-Rev'!AG73-BA75</f>
        <v>-46069</v>
      </c>
      <c r="BD75" s="2"/>
      <c r="BE75" s="2">
        <v>1792180</v>
      </c>
      <c r="BF75" s="2"/>
      <c r="BG75" s="13">
        <f>+BC75+BE75</f>
        <v>1746111</v>
      </c>
      <c r="BH75" s="13"/>
      <c r="BI75" s="13">
        <f>+'St of Net Assets'!AA71-BG75</f>
        <v>0</v>
      </c>
    </row>
    <row r="76" spans="1:63">
      <c r="A76" s="19" t="s">
        <v>165</v>
      </c>
      <c r="B76" s="19"/>
      <c r="C76" s="19" t="s">
        <v>159</v>
      </c>
      <c r="E76" s="19">
        <v>46086</v>
      </c>
      <c r="G76" s="2">
        <v>529271</v>
      </c>
      <c r="H76" s="2"/>
      <c r="I76" s="2">
        <v>1661965</v>
      </c>
      <c r="J76" s="2"/>
      <c r="K76" s="2">
        <v>0</v>
      </c>
      <c r="L76" s="2"/>
      <c r="M76" s="2">
        <v>0</v>
      </c>
      <c r="N76" s="2"/>
      <c r="O76" s="2">
        <v>2500419</v>
      </c>
      <c r="P76" s="2"/>
      <c r="Q76" s="2">
        <v>2091237</v>
      </c>
      <c r="R76" s="2"/>
      <c r="S76" s="2">
        <v>11862</v>
      </c>
      <c r="T76" s="2"/>
      <c r="U76" s="2">
        <v>1451166</v>
      </c>
      <c r="V76" s="2"/>
      <c r="W76" s="2">
        <v>571813</v>
      </c>
      <c r="X76" s="2"/>
      <c r="Y76" s="2">
        <v>0</v>
      </c>
      <c r="Z76" s="2"/>
      <c r="AA76" s="2">
        <v>807999</v>
      </c>
      <c r="AB76" s="2"/>
      <c r="AC76" s="19" t="s">
        <v>165</v>
      </c>
      <c r="AD76" s="19"/>
      <c r="AE76" s="19" t="s">
        <v>159</v>
      </c>
      <c r="AF76" s="19"/>
      <c r="AG76" s="2">
        <v>216700</v>
      </c>
      <c r="AH76" s="2"/>
      <c r="AI76" s="2">
        <v>1776711</v>
      </c>
      <c r="AJ76" s="2"/>
      <c r="AK76" s="2"/>
      <c r="AL76" s="2"/>
      <c r="AM76" s="2">
        <v>0</v>
      </c>
      <c r="AN76" s="2"/>
      <c r="AO76" s="2">
        <v>0</v>
      </c>
      <c r="AP76" s="2"/>
      <c r="AQ76" s="2">
        <v>0</v>
      </c>
      <c r="AR76" s="2"/>
      <c r="AS76" s="2">
        <v>0</v>
      </c>
      <c r="AT76" s="2"/>
      <c r="AU76" s="2"/>
      <c r="AV76" s="2"/>
      <c r="AW76" s="2"/>
      <c r="AX76" s="2"/>
      <c r="AY76" s="2">
        <v>0</v>
      </c>
      <c r="AZ76" s="2"/>
      <c r="BA76" s="2">
        <f t="shared" ref="BA76:BA131" si="2">SUM(G76:AZ76)</f>
        <v>11619143</v>
      </c>
      <c r="BB76" s="2"/>
      <c r="BC76" s="2">
        <f>+'St of Act-Rev'!AG74-BA76</f>
        <v>74995</v>
      </c>
      <c r="BD76" s="2"/>
      <c r="BE76" s="2">
        <v>2846947</v>
      </c>
      <c r="BF76" s="2"/>
      <c r="BG76" s="13">
        <f t="shared" ref="BG76:BG131" si="3">+BC76+BE76</f>
        <v>2921942</v>
      </c>
      <c r="BH76" s="13"/>
      <c r="BI76" s="13">
        <f>+'St of Net Assets'!AA72-BG76</f>
        <v>0</v>
      </c>
    </row>
    <row r="77" spans="1:63">
      <c r="A77" s="19" t="s">
        <v>168</v>
      </c>
      <c r="B77" s="19"/>
      <c r="C77" s="19" t="s">
        <v>169</v>
      </c>
      <c r="E77" s="19">
        <v>46227</v>
      </c>
      <c r="G77" s="2">
        <v>68289</v>
      </c>
      <c r="H77" s="2"/>
      <c r="I77" s="2">
        <v>1282279</v>
      </c>
      <c r="J77" s="2"/>
      <c r="K77" s="2">
        <v>158676</v>
      </c>
      <c r="L77" s="2"/>
      <c r="M77" s="2">
        <v>0</v>
      </c>
      <c r="N77" s="2"/>
      <c r="O77" s="2">
        <v>1383885</v>
      </c>
      <c r="P77" s="2"/>
      <c r="Q77" s="2">
        <v>2578228</v>
      </c>
      <c r="R77" s="2"/>
      <c r="S77" s="2">
        <v>31315</v>
      </c>
      <c r="T77" s="2"/>
      <c r="U77" s="2">
        <v>773960</v>
      </c>
      <c r="V77" s="2"/>
      <c r="W77" s="2">
        <v>188840</v>
      </c>
      <c r="X77" s="2"/>
      <c r="Y77" s="2">
        <v>14094</v>
      </c>
      <c r="Z77" s="2"/>
      <c r="AA77" s="2">
        <v>75522</v>
      </c>
      <c r="AB77" s="2"/>
      <c r="AC77" s="19" t="s">
        <v>168</v>
      </c>
      <c r="AD77" s="19"/>
      <c r="AE77" s="19" t="s">
        <v>169</v>
      </c>
      <c r="AF77" s="19"/>
      <c r="AG77" s="2">
        <v>1193</v>
      </c>
      <c r="AH77" s="2"/>
      <c r="AI77" s="2">
        <v>2817</v>
      </c>
      <c r="AJ77" s="2"/>
      <c r="AK77" s="2"/>
      <c r="AL77" s="2"/>
      <c r="AM77" s="2">
        <v>0</v>
      </c>
      <c r="AN77" s="2"/>
      <c r="AO77" s="2">
        <v>0</v>
      </c>
      <c r="AP77" s="2"/>
      <c r="AQ77" s="2">
        <v>64</v>
      </c>
      <c r="AR77" s="2"/>
      <c r="AS77" s="2">
        <v>184</v>
      </c>
      <c r="AT77" s="2"/>
      <c r="AU77" s="2"/>
      <c r="AV77" s="2"/>
      <c r="AW77" s="2"/>
      <c r="AX77" s="2"/>
      <c r="AY77" s="2">
        <v>0</v>
      </c>
      <c r="AZ77" s="2"/>
      <c r="BA77" s="2">
        <f t="shared" si="2"/>
        <v>6559346</v>
      </c>
      <c r="BB77" s="2"/>
      <c r="BC77" s="2">
        <f>+'St of Act-Rev'!AG75-BA77</f>
        <v>-264620</v>
      </c>
      <c r="BD77" s="2"/>
      <c r="BE77" s="2">
        <v>1973924</v>
      </c>
      <c r="BF77" s="2"/>
      <c r="BG77" s="13">
        <f t="shared" si="3"/>
        <v>1709304</v>
      </c>
      <c r="BH77" s="13"/>
      <c r="BI77" s="13">
        <f>+'St of Net Assets'!AA73-BG77</f>
        <v>0</v>
      </c>
    </row>
    <row r="78" spans="1:63">
      <c r="A78" s="19" t="s">
        <v>170</v>
      </c>
      <c r="B78" s="19"/>
      <c r="C78" s="19" t="s">
        <v>171</v>
      </c>
      <c r="E78" s="19">
        <v>46292</v>
      </c>
      <c r="G78" s="2">
        <v>281779</v>
      </c>
      <c r="H78" s="2"/>
      <c r="I78" s="2">
        <v>6513804</v>
      </c>
      <c r="J78" s="2"/>
      <c r="K78" s="2">
        <v>117627</v>
      </c>
      <c r="L78" s="2"/>
      <c r="M78" s="2">
        <v>0</v>
      </c>
      <c r="N78" s="2"/>
      <c r="O78" s="2">
        <v>4687108</v>
      </c>
      <c r="P78" s="2"/>
      <c r="Q78" s="2">
        <v>6128295</v>
      </c>
      <c r="R78" s="2"/>
      <c r="S78" s="2">
        <v>74455</v>
      </c>
      <c r="T78" s="2"/>
      <c r="U78" s="2">
        <v>483144</v>
      </c>
      <c r="V78" s="2"/>
      <c r="W78" s="2">
        <v>274080</v>
      </c>
      <c r="X78" s="2"/>
      <c r="Y78" s="2">
        <v>0</v>
      </c>
      <c r="Z78" s="2"/>
      <c r="AA78" s="2">
        <v>0</v>
      </c>
      <c r="AB78" s="2"/>
      <c r="AC78" s="19" t="s">
        <v>170</v>
      </c>
      <c r="AD78" s="19"/>
      <c r="AE78" s="19" t="s">
        <v>171</v>
      </c>
      <c r="AF78" s="19"/>
      <c r="AG78" s="2">
        <v>0</v>
      </c>
      <c r="AH78" s="2"/>
      <c r="AI78" s="2">
        <v>27366</v>
      </c>
      <c r="AJ78" s="2"/>
      <c r="AK78" s="2"/>
      <c r="AL78" s="2"/>
      <c r="AM78" s="2">
        <v>0</v>
      </c>
      <c r="AN78" s="2"/>
      <c r="AO78" s="2">
        <v>62456</v>
      </c>
      <c r="AP78" s="2"/>
      <c r="AQ78" s="2">
        <v>0</v>
      </c>
      <c r="AR78" s="2"/>
      <c r="AS78" s="2">
        <v>0</v>
      </c>
      <c r="AT78" s="2"/>
      <c r="AU78" s="2"/>
      <c r="AV78" s="2"/>
      <c r="AW78" s="2"/>
      <c r="AX78" s="2"/>
      <c r="AY78" s="2">
        <v>0</v>
      </c>
      <c r="AZ78" s="2"/>
      <c r="BA78" s="2">
        <f t="shared" si="2"/>
        <v>18650114</v>
      </c>
      <c r="BB78" s="2"/>
      <c r="BC78" s="2">
        <f>+'St of Act-Rev'!AG76-BA78</f>
        <v>-387864</v>
      </c>
      <c r="BD78" s="2"/>
      <c r="BE78" s="2">
        <v>4092300</v>
      </c>
      <c r="BF78" s="2"/>
      <c r="BG78" s="13">
        <f t="shared" si="3"/>
        <v>3704436</v>
      </c>
      <c r="BH78" s="13"/>
      <c r="BI78" s="13">
        <f>+'St of Net Assets'!AA74-BG78</f>
        <v>0</v>
      </c>
    </row>
    <row r="79" spans="1:63" s="65" customFormat="1" hidden="1">
      <c r="A79" s="80" t="s">
        <v>429</v>
      </c>
      <c r="B79" s="60"/>
      <c r="C79" s="60" t="s">
        <v>173</v>
      </c>
      <c r="E79" s="60">
        <v>46375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60" t="s">
        <v>172</v>
      </c>
      <c r="AD79" s="60"/>
      <c r="AE79" s="60" t="s">
        <v>173</v>
      </c>
      <c r="AF79" s="60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>
        <v>0</v>
      </c>
      <c r="BB79" s="13"/>
      <c r="BC79" s="13">
        <f>+'St of Act-Rev'!AG77-BA79</f>
        <v>0</v>
      </c>
      <c r="BD79" s="13"/>
      <c r="BE79" s="13"/>
      <c r="BF79" s="13"/>
      <c r="BG79" s="13">
        <f t="shared" si="3"/>
        <v>0</v>
      </c>
      <c r="BH79" s="13"/>
      <c r="BI79" s="13">
        <f>+'St of Net Assets'!AA75-BG79</f>
        <v>0</v>
      </c>
      <c r="BJ79" s="86"/>
      <c r="BK79" s="80" t="s">
        <v>406</v>
      </c>
    </row>
    <row r="80" spans="1:63">
      <c r="A80" s="19" t="s">
        <v>174</v>
      </c>
      <c r="B80" s="19"/>
      <c r="C80" s="19" t="s">
        <v>175</v>
      </c>
      <c r="E80" s="19">
        <v>46417</v>
      </c>
      <c r="G80" s="2">
        <v>692405</v>
      </c>
      <c r="H80" s="2"/>
      <c r="I80" s="2">
        <v>2213866</v>
      </c>
      <c r="J80" s="2"/>
      <c r="K80" s="2">
        <v>0</v>
      </c>
      <c r="L80" s="2"/>
      <c r="M80" s="2">
        <v>0</v>
      </c>
      <c r="N80" s="2"/>
      <c r="O80" s="2">
        <v>2314720</v>
      </c>
      <c r="P80" s="2"/>
      <c r="Q80" s="2">
        <v>3041371</v>
      </c>
      <c r="R80" s="2"/>
      <c r="S80" s="2">
        <v>29842</v>
      </c>
      <c r="T80" s="2"/>
      <c r="U80" s="2">
        <v>385941</v>
      </c>
      <c r="V80" s="2"/>
      <c r="W80" s="2">
        <v>203328</v>
      </c>
      <c r="X80" s="2"/>
      <c r="Y80" s="2">
        <v>0</v>
      </c>
      <c r="Z80" s="2"/>
      <c r="AA80" s="2">
        <v>129302</v>
      </c>
      <c r="AB80" s="2"/>
      <c r="AC80" s="19" t="s">
        <v>174</v>
      </c>
      <c r="AD80" s="19"/>
      <c r="AE80" s="19" t="s">
        <v>175</v>
      </c>
      <c r="AF80" s="19"/>
      <c r="AG80" s="2">
        <v>572874</v>
      </c>
      <c r="AH80" s="2"/>
      <c r="AI80" s="2">
        <v>315299</v>
      </c>
      <c r="AJ80" s="2"/>
      <c r="AK80" s="2"/>
      <c r="AL80" s="2"/>
      <c r="AM80" s="2">
        <v>0</v>
      </c>
      <c r="AN80" s="2"/>
      <c r="AO80" s="2">
        <v>98745</v>
      </c>
      <c r="AP80" s="2"/>
      <c r="AQ80" s="2">
        <v>0</v>
      </c>
      <c r="AR80" s="2"/>
      <c r="AS80" s="2">
        <v>18216</v>
      </c>
      <c r="AT80" s="2"/>
      <c r="AU80" s="2"/>
      <c r="AV80" s="2"/>
      <c r="AW80" s="2"/>
      <c r="AX80" s="2"/>
      <c r="AY80" s="2">
        <v>0</v>
      </c>
      <c r="AZ80" s="2"/>
      <c r="BA80" s="2">
        <f t="shared" si="2"/>
        <v>10015909</v>
      </c>
      <c r="BB80" s="2"/>
      <c r="BC80" s="2">
        <f>+'St of Act-Rev'!AG78-BA80</f>
        <v>-306091</v>
      </c>
      <c r="BD80" s="2"/>
      <c r="BE80" s="2">
        <v>618840</v>
      </c>
      <c r="BF80" s="2"/>
      <c r="BG80" s="13">
        <f t="shared" si="3"/>
        <v>312749</v>
      </c>
      <c r="BH80" s="13"/>
      <c r="BI80" s="13">
        <f>+'St of Net Assets'!AA76-BG80</f>
        <v>0</v>
      </c>
    </row>
    <row r="81" spans="1:63">
      <c r="A81" s="19" t="s">
        <v>176</v>
      </c>
      <c r="B81" s="19"/>
      <c r="C81" s="19" t="s">
        <v>177</v>
      </c>
      <c r="E81" s="19">
        <v>46532</v>
      </c>
      <c r="G81" s="2">
        <v>1961998</v>
      </c>
      <c r="H81" s="2"/>
      <c r="I81" s="2">
        <v>25259506</v>
      </c>
      <c r="J81" s="2"/>
      <c r="K81" s="2">
        <v>313250</v>
      </c>
      <c r="L81" s="2"/>
      <c r="M81" s="2">
        <v>18433</v>
      </c>
      <c r="N81" s="2"/>
      <c r="O81" s="2">
        <v>6126518</v>
      </c>
      <c r="P81" s="2"/>
      <c r="Q81" s="2">
        <v>15655533</v>
      </c>
      <c r="R81" s="2"/>
      <c r="S81" s="2">
        <v>69355</v>
      </c>
      <c r="T81" s="2"/>
      <c r="U81" s="2">
        <v>12537263</v>
      </c>
      <c r="V81" s="2"/>
      <c r="W81" s="2">
        <v>1479435</v>
      </c>
      <c r="X81" s="2"/>
      <c r="Y81" s="2">
        <v>98679</v>
      </c>
      <c r="Z81" s="2"/>
      <c r="AA81" s="2">
        <v>997325</v>
      </c>
      <c r="AB81" s="2"/>
      <c r="AC81" s="19" t="s">
        <v>176</v>
      </c>
      <c r="AD81" s="19"/>
      <c r="AE81" s="19" t="s">
        <v>177</v>
      </c>
      <c r="AF81" s="19"/>
      <c r="AG81" s="2">
        <v>3074</v>
      </c>
      <c r="AH81" s="2"/>
      <c r="AI81" s="2">
        <v>153962</v>
      </c>
      <c r="AJ81" s="2"/>
      <c r="AK81" s="2"/>
      <c r="AL81" s="2"/>
      <c r="AM81" s="2">
        <v>0</v>
      </c>
      <c r="AN81" s="2"/>
      <c r="AO81" s="2">
        <v>4762606</v>
      </c>
      <c r="AP81" s="2"/>
      <c r="AQ81" s="2">
        <v>52582</v>
      </c>
      <c r="AR81" s="2"/>
      <c r="AS81" s="2">
        <v>84700</v>
      </c>
      <c r="AT81" s="2"/>
      <c r="AU81" s="2"/>
      <c r="AV81" s="2"/>
      <c r="AW81" s="2"/>
      <c r="AX81" s="2"/>
      <c r="AY81" s="2">
        <v>0</v>
      </c>
      <c r="AZ81" s="2"/>
      <c r="BA81" s="2">
        <f t="shared" si="2"/>
        <v>69574219</v>
      </c>
      <c r="BB81" s="2"/>
      <c r="BC81" s="2">
        <f>+'St of Act-Rev'!AG79-BA81</f>
        <v>-1681509</v>
      </c>
      <c r="BD81" s="2"/>
      <c r="BE81" s="2">
        <v>31523050</v>
      </c>
      <c r="BF81" s="2"/>
      <c r="BG81" s="13">
        <f t="shared" si="3"/>
        <v>29841541</v>
      </c>
      <c r="BH81" s="13"/>
      <c r="BI81" s="13">
        <f>+'St of Net Assets'!AA77-BG81</f>
        <v>0</v>
      </c>
    </row>
    <row r="82" spans="1:63" hidden="1">
      <c r="A82" s="13" t="s">
        <v>395</v>
      </c>
      <c r="B82" s="19"/>
      <c r="C82" s="19" t="s">
        <v>179</v>
      </c>
      <c r="E82" s="19">
        <v>46615</v>
      </c>
      <c r="G82" s="2">
        <v>130531</v>
      </c>
      <c r="H82" s="2"/>
      <c r="I82" s="2">
        <v>876656</v>
      </c>
      <c r="J82" s="2"/>
      <c r="K82" s="2"/>
      <c r="L82" s="2"/>
      <c r="M82" s="2"/>
      <c r="N82" s="2"/>
      <c r="O82" s="2">
        <v>1002499</v>
      </c>
      <c r="P82" s="2"/>
      <c r="Q82" s="2">
        <v>1007828</v>
      </c>
      <c r="R82" s="2"/>
      <c r="S82" s="2">
        <v>94503</v>
      </c>
      <c r="T82" s="2"/>
      <c r="U82" s="2">
        <v>189671</v>
      </c>
      <c r="V82" s="2"/>
      <c r="W82" s="2">
        <v>95722</v>
      </c>
      <c r="X82" s="2"/>
      <c r="Y82" s="2"/>
      <c r="Z82" s="2"/>
      <c r="AA82" s="2">
        <v>28271</v>
      </c>
      <c r="AB82" s="2"/>
      <c r="AC82" s="19" t="s">
        <v>178</v>
      </c>
      <c r="AD82" s="19"/>
      <c r="AE82" s="19" t="s">
        <v>179</v>
      </c>
      <c r="AF82" s="19"/>
      <c r="AG82" s="2"/>
      <c r="AH82" s="2"/>
      <c r="AI82" s="2">
        <v>11253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>
        <f t="shared" si="2"/>
        <v>3436934</v>
      </c>
      <c r="BB82" s="2"/>
      <c r="BC82" s="2">
        <f>+'St of Act-Rev'!AG80-BA82</f>
        <v>77532</v>
      </c>
      <c r="BD82" s="2"/>
      <c r="BE82" s="2">
        <v>1203380</v>
      </c>
      <c r="BF82" s="2"/>
      <c r="BG82" s="13">
        <f t="shared" si="3"/>
        <v>1280912</v>
      </c>
      <c r="BH82" s="13"/>
      <c r="BI82" s="13">
        <f>+'St of Net Assets'!AA78-BG82</f>
        <v>0</v>
      </c>
      <c r="BK82" s="63" t="s">
        <v>373</v>
      </c>
    </row>
    <row r="83" spans="1:63" s="65" customFormat="1" hidden="1">
      <c r="A83" s="80" t="s">
        <v>180</v>
      </c>
      <c r="B83" s="60"/>
      <c r="C83" s="60" t="s">
        <v>181</v>
      </c>
      <c r="E83" s="60">
        <v>46730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60" t="s">
        <v>180</v>
      </c>
      <c r="AD83" s="60"/>
      <c r="AE83" s="60" t="s">
        <v>181</v>
      </c>
      <c r="AF83" s="60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>
        <f t="shared" si="2"/>
        <v>0</v>
      </c>
      <c r="BB83" s="13"/>
      <c r="BC83" s="13">
        <f>+'St of Act-Rev'!AG81-BA83</f>
        <v>0</v>
      </c>
      <c r="BD83" s="13"/>
      <c r="BE83" s="13"/>
      <c r="BF83" s="13"/>
      <c r="BG83" s="13">
        <f t="shared" si="3"/>
        <v>0</v>
      </c>
      <c r="BH83" s="13"/>
      <c r="BI83" s="13">
        <f>+'St of Net Assets'!AA79-BG83</f>
        <v>0</v>
      </c>
      <c r="BJ83" s="86"/>
      <c r="BK83" s="80" t="s">
        <v>410</v>
      </c>
    </row>
    <row r="84" spans="1:63" s="65" customFormat="1" hidden="1">
      <c r="A84" s="80" t="s">
        <v>412</v>
      </c>
      <c r="B84" s="60"/>
      <c r="C84" s="60" t="s">
        <v>183</v>
      </c>
      <c r="E84" s="60">
        <v>125690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60" t="s">
        <v>182</v>
      </c>
      <c r="AD84" s="60"/>
      <c r="AE84" s="60" t="s">
        <v>183</v>
      </c>
      <c r="AF84" s="60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>
        <f t="shared" si="2"/>
        <v>0</v>
      </c>
      <c r="BB84" s="13"/>
      <c r="BC84" s="13">
        <f>+'St of Act-Rev'!AG82-BA84</f>
        <v>0</v>
      </c>
      <c r="BD84" s="13"/>
      <c r="BE84" s="13"/>
      <c r="BF84" s="13"/>
      <c r="BG84" s="13">
        <f t="shared" si="3"/>
        <v>0</v>
      </c>
      <c r="BH84" s="13"/>
      <c r="BI84" s="13">
        <f>+'St of Net Assets'!AA80-BG84</f>
        <v>0</v>
      </c>
      <c r="BJ84" s="86"/>
      <c r="BK84" s="80" t="s">
        <v>414</v>
      </c>
    </row>
    <row r="85" spans="1:63">
      <c r="A85" s="19" t="s">
        <v>184</v>
      </c>
      <c r="B85" s="19"/>
      <c r="C85" s="19" t="s">
        <v>185</v>
      </c>
      <c r="E85" s="19">
        <v>46839</v>
      </c>
      <c r="G85" s="2">
        <v>286613</v>
      </c>
      <c r="H85" s="2"/>
      <c r="I85" s="2">
        <v>1599522</v>
      </c>
      <c r="J85" s="2"/>
      <c r="K85" s="2">
        <v>0</v>
      </c>
      <c r="L85" s="2"/>
      <c r="M85" s="2">
        <v>0</v>
      </c>
      <c r="N85" s="2"/>
      <c r="O85" s="2">
        <v>2054817</v>
      </c>
      <c r="P85" s="2"/>
      <c r="Q85" s="2">
        <v>2371394</v>
      </c>
      <c r="R85" s="2"/>
      <c r="S85" s="2">
        <v>3094</v>
      </c>
      <c r="T85" s="2"/>
      <c r="U85" s="2">
        <v>1570189</v>
      </c>
      <c r="V85" s="2"/>
      <c r="W85" s="2">
        <v>256134</v>
      </c>
      <c r="X85" s="2"/>
      <c r="Y85" s="2">
        <v>0</v>
      </c>
      <c r="Z85" s="2"/>
      <c r="AA85" s="2">
        <v>41764</v>
      </c>
      <c r="AB85" s="2"/>
      <c r="AC85" s="19" t="s">
        <v>184</v>
      </c>
      <c r="AD85" s="19"/>
      <c r="AE85" s="19" t="s">
        <v>185</v>
      </c>
      <c r="AF85" s="19"/>
      <c r="AG85" s="2">
        <v>0</v>
      </c>
      <c r="AH85" s="2"/>
      <c r="AI85" s="2">
        <v>72508</v>
      </c>
      <c r="AJ85" s="2"/>
      <c r="AK85" s="2"/>
      <c r="AL85" s="2"/>
      <c r="AM85" s="2">
        <v>0</v>
      </c>
      <c r="AN85" s="2"/>
      <c r="AO85" s="2">
        <v>0</v>
      </c>
      <c r="AP85" s="2"/>
      <c r="AQ85" s="2">
        <v>0</v>
      </c>
      <c r="AR85" s="2"/>
      <c r="AS85" s="2">
        <v>1943</v>
      </c>
      <c r="AT85" s="2"/>
      <c r="AU85" s="2"/>
      <c r="AV85" s="2"/>
      <c r="AW85" s="2"/>
      <c r="AX85" s="2"/>
      <c r="AY85" s="2">
        <v>0</v>
      </c>
      <c r="AZ85" s="2"/>
      <c r="BA85" s="2">
        <f>SUM(G85:AZ85)</f>
        <v>8257978</v>
      </c>
      <c r="BB85" s="2"/>
      <c r="BC85" s="2">
        <f>+'St of Act-Rev'!AG83-BA85</f>
        <v>-110076</v>
      </c>
      <c r="BD85" s="2"/>
      <c r="BE85" s="2">
        <v>850022</v>
      </c>
      <c r="BF85" s="2"/>
      <c r="BG85" s="13">
        <f>+BC85+BE85</f>
        <v>739946</v>
      </c>
      <c r="BH85" s="13"/>
      <c r="BI85" s="13">
        <f>+'St of Net Assets'!AA81-BG85</f>
        <v>0</v>
      </c>
      <c r="BK85" s="19"/>
    </row>
    <row r="86" spans="1:63">
      <c r="A86" s="2" t="s">
        <v>433</v>
      </c>
      <c r="B86" s="19"/>
      <c r="C86" s="19" t="s">
        <v>186</v>
      </c>
      <c r="E86" s="19">
        <v>46938</v>
      </c>
      <c r="G86" s="2">
        <v>493580</v>
      </c>
      <c r="H86" s="2"/>
      <c r="I86" s="2">
        <v>14630501</v>
      </c>
      <c r="J86" s="2"/>
      <c r="K86" s="2">
        <v>507440</v>
      </c>
      <c r="L86" s="2"/>
      <c r="M86" s="2">
        <v>0</v>
      </c>
      <c r="N86" s="2"/>
      <c r="O86" s="2">
        <v>2791348</v>
      </c>
      <c r="P86" s="2"/>
      <c r="Q86" s="2">
        <v>19056720</v>
      </c>
      <c r="R86" s="2"/>
      <c r="S86" s="2">
        <v>81161</v>
      </c>
      <c r="T86" s="2"/>
      <c r="U86" s="2">
        <v>10813723</v>
      </c>
      <c r="V86" s="2"/>
      <c r="W86" s="2">
        <v>2469813</v>
      </c>
      <c r="X86" s="2"/>
      <c r="Y86" s="2">
        <v>437217</v>
      </c>
      <c r="Z86" s="2"/>
      <c r="AA86" s="2">
        <v>656126</v>
      </c>
      <c r="AB86" s="2"/>
      <c r="AC86" s="2" t="s">
        <v>433</v>
      </c>
      <c r="AD86" s="19"/>
      <c r="AE86" s="19" t="s">
        <v>186</v>
      </c>
      <c r="AF86" s="19"/>
      <c r="AG86" s="2">
        <v>36919</v>
      </c>
      <c r="AH86" s="2"/>
      <c r="AI86" s="2">
        <v>1592366</v>
      </c>
      <c r="AJ86" s="2"/>
      <c r="AK86" s="2"/>
      <c r="AL86" s="2"/>
      <c r="AM86" s="2">
        <v>0</v>
      </c>
      <c r="AN86" s="2"/>
      <c r="AO86" s="2">
        <v>580</v>
      </c>
      <c r="AP86" s="2"/>
      <c r="AQ86" s="2">
        <v>28535</v>
      </c>
      <c r="AR86" s="2"/>
      <c r="AS86" s="2">
        <v>158846</v>
      </c>
      <c r="AT86" s="2"/>
      <c r="AU86" s="2"/>
      <c r="AV86" s="2"/>
      <c r="AW86" s="2"/>
      <c r="AX86" s="2"/>
      <c r="AY86" s="2">
        <v>0</v>
      </c>
      <c r="AZ86" s="2"/>
      <c r="BA86" s="2">
        <f t="shared" si="2"/>
        <v>53754875</v>
      </c>
      <c r="BB86" s="2"/>
      <c r="BC86" s="2">
        <f>+'St of Act-Rev'!AG84-BA86</f>
        <v>4923402</v>
      </c>
      <c r="BD86" s="2"/>
      <c r="BE86" s="2">
        <v>14315249</v>
      </c>
      <c r="BF86" s="2"/>
      <c r="BG86" s="13">
        <f t="shared" si="3"/>
        <v>19238651</v>
      </c>
      <c r="BH86" s="13"/>
      <c r="BI86" s="13">
        <f>+'St of Net Assets'!AA82-BG86</f>
        <v>0</v>
      </c>
      <c r="BK86" s="60" t="s">
        <v>409</v>
      </c>
    </row>
    <row r="87" spans="1:63">
      <c r="A87" s="19" t="s">
        <v>188</v>
      </c>
      <c r="B87" s="19"/>
      <c r="C87" s="19" t="s">
        <v>189</v>
      </c>
      <c r="E87" s="19">
        <v>125682</v>
      </c>
      <c r="G87" s="2">
        <v>574442</v>
      </c>
      <c r="H87" s="2"/>
      <c r="I87" s="2">
        <v>115117</v>
      </c>
      <c r="J87" s="2"/>
      <c r="K87" s="2">
        <v>0</v>
      </c>
      <c r="L87" s="2"/>
      <c r="M87" s="2">
        <v>0</v>
      </c>
      <c r="N87" s="2"/>
      <c r="O87" s="2">
        <v>257134</v>
      </c>
      <c r="P87" s="2"/>
      <c r="Q87" s="2">
        <v>861257</v>
      </c>
      <c r="R87" s="2"/>
      <c r="S87" s="2">
        <v>35633</v>
      </c>
      <c r="T87" s="2"/>
      <c r="U87" s="2">
        <v>490431</v>
      </c>
      <c r="V87" s="2"/>
      <c r="W87" s="2">
        <v>67286</v>
      </c>
      <c r="X87" s="2"/>
      <c r="Y87" s="2">
        <v>0</v>
      </c>
      <c r="Z87" s="2"/>
      <c r="AA87" s="2">
        <v>16700</v>
      </c>
      <c r="AB87" s="2"/>
      <c r="AC87" s="19" t="s">
        <v>188</v>
      </c>
      <c r="AD87" s="19"/>
      <c r="AE87" s="19" t="s">
        <v>189</v>
      </c>
      <c r="AF87" s="19"/>
      <c r="AG87" s="2">
        <v>163905</v>
      </c>
      <c r="AH87" s="2"/>
      <c r="AI87" s="2">
        <v>18879</v>
      </c>
      <c r="AJ87" s="2"/>
      <c r="AK87" s="2"/>
      <c r="AL87" s="2"/>
      <c r="AM87" s="2">
        <v>0</v>
      </c>
      <c r="AN87" s="2"/>
      <c r="AO87" s="2">
        <v>16357</v>
      </c>
      <c r="AP87" s="2"/>
      <c r="AQ87" s="2">
        <v>0</v>
      </c>
      <c r="AR87" s="2"/>
      <c r="AS87" s="2">
        <v>0</v>
      </c>
      <c r="AT87" s="2"/>
      <c r="AU87" s="2"/>
      <c r="AV87" s="2"/>
      <c r="AW87" s="2"/>
      <c r="AX87" s="2"/>
      <c r="AY87" s="2">
        <v>0</v>
      </c>
      <c r="AZ87" s="2"/>
      <c r="BA87" s="2">
        <f t="shared" si="2"/>
        <v>2617141</v>
      </c>
      <c r="BB87" s="2"/>
      <c r="BC87" s="2">
        <f>+'St of Act-Rev'!AG85-BA87</f>
        <v>23031</v>
      </c>
      <c r="BD87" s="2"/>
      <c r="BE87" s="2">
        <v>822289</v>
      </c>
      <c r="BF87" s="2"/>
      <c r="BG87" s="13">
        <f t="shared" si="3"/>
        <v>845320</v>
      </c>
      <c r="BH87" s="13"/>
      <c r="BI87" s="13">
        <f>+'St of Net Assets'!AA83-BG87</f>
        <v>0</v>
      </c>
    </row>
    <row r="88" spans="1:63" hidden="1">
      <c r="A88" s="106" t="s">
        <v>430</v>
      </c>
      <c r="B88" s="19"/>
      <c r="C88" s="19" t="s">
        <v>191</v>
      </c>
      <c r="E88" s="19">
        <v>47159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9" t="s">
        <v>190</v>
      </c>
      <c r="AD88" s="19"/>
      <c r="AE88" s="19" t="s">
        <v>191</v>
      </c>
      <c r="AF88" s="19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>
        <f t="shared" si="2"/>
        <v>0</v>
      </c>
      <c r="BB88" s="2"/>
      <c r="BC88" s="2">
        <f>+'St of Act-Rev'!AG86-BA88</f>
        <v>0</v>
      </c>
      <c r="BD88" s="2"/>
      <c r="BE88" s="2"/>
      <c r="BF88" s="2"/>
      <c r="BG88" s="13">
        <f t="shared" si="3"/>
        <v>0</v>
      </c>
      <c r="BH88" s="13"/>
      <c r="BI88" s="13">
        <f>+'St of Net Assets'!AA84-BG88</f>
        <v>0</v>
      </c>
      <c r="BK88" s="72" t="s">
        <v>394</v>
      </c>
    </row>
    <row r="89" spans="1:63">
      <c r="A89" s="19" t="s">
        <v>192</v>
      </c>
      <c r="B89" s="19"/>
      <c r="C89" s="19" t="s">
        <v>193</v>
      </c>
      <c r="E89" s="19">
        <v>47233</v>
      </c>
      <c r="G89" s="2">
        <v>2352758</v>
      </c>
      <c r="H89" s="2"/>
      <c r="I89" s="2">
        <v>4171910</v>
      </c>
      <c r="J89" s="2"/>
      <c r="K89" s="2">
        <v>0</v>
      </c>
      <c r="L89" s="2"/>
      <c r="M89" s="2">
        <v>0</v>
      </c>
      <c r="N89" s="2"/>
      <c r="O89" s="2">
        <v>3492286</v>
      </c>
      <c r="P89" s="2"/>
      <c r="Q89" s="2">
        <v>2190624</v>
      </c>
      <c r="R89" s="2"/>
      <c r="S89" s="2">
        <v>20499</v>
      </c>
      <c r="T89" s="2"/>
      <c r="U89" s="2">
        <v>295939</v>
      </c>
      <c r="V89" s="2"/>
      <c r="W89" s="2">
        <v>280009</v>
      </c>
      <c r="X89" s="2"/>
      <c r="Y89" s="2">
        <v>39283</v>
      </c>
      <c r="Z89" s="2"/>
      <c r="AA89" s="2">
        <v>201307</v>
      </c>
      <c r="AB89" s="2"/>
      <c r="AC89" s="19" t="s">
        <v>192</v>
      </c>
      <c r="AD89" s="19"/>
      <c r="AE89" s="19" t="s">
        <v>193</v>
      </c>
      <c r="AF89" s="19"/>
      <c r="AG89" s="2">
        <v>0</v>
      </c>
      <c r="AH89" s="2"/>
      <c r="AI89" s="2">
        <v>7664</v>
      </c>
      <c r="AJ89" s="2"/>
      <c r="AK89" s="2"/>
      <c r="AL89" s="2"/>
      <c r="AM89" s="2">
        <v>0</v>
      </c>
      <c r="AN89" s="2"/>
      <c r="AO89" s="2">
        <v>7228</v>
      </c>
      <c r="AP89" s="2"/>
      <c r="AQ89" s="2">
        <v>0</v>
      </c>
      <c r="AR89" s="2"/>
      <c r="AS89" s="2">
        <v>10596</v>
      </c>
      <c r="AT89" s="2"/>
      <c r="AU89" s="2"/>
      <c r="AV89" s="2"/>
      <c r="AW89" s="2"/>
      <c r="AX89" s="2"/>
      <c r="AY89" s="2">
        <v>29024</v>
      </c>
      <c r="AZ89" s="2"/>
      <c r="BA89" s="2">
        <f t="shared" si="2"/>
        <v>13099127</v>
      </c>
      <c r="BB89" s="2"/>
      <c r="BC89" s="2">
        <f>+'St of Act-Rev'!AG87-BA89</f>
        <v>168097</v>
      </c>
      <c r="BD89" s="2"/>
      <c r="BE89" s="2">
        <v>1364350</v>
      </c>
      <c r="BF89" s="2"/>
      <c r="BG89" s="13">
        <f t="shared" si="3"/>
        <v>1532447</v>
      </c>
      <c r="BH89" s="13"/>
      <c r="BI89" s="13">
        <f>+'St of Net Assets'!AA85-BG89</f>
        <v>0</v>
      </c>
    </row>
    <row r="90" spans="1:63">
      <c r="A90" s="19" t="s">
        <v>194</v>
      </c>
      <c r="B90" s="19"/>
      <c r="C90" s="19" t="s">
        <v>195</v>
      </c>
      <c r="E90" s="19">
        <v>47324</v>
      </c>
      <c r="G90" s="2">
        <v>8006887</v>
      </c>
      <c r="H90" s="2"/>
      <c r="I90" s="2">
        <v>0</v>
      </c>
      <c r="J90" s="2"/>
      <c r="K90" s="2">
        <v>123085</v>
      </c>
      <c r="L90" s="2"/>
      <c r="M90" s="2">
        <v>0</v>
      </c>
      <c r="N90" s="2"/>
      <c r="O90" s="2">
        <v>7378778</v>
      </c>
      <c r="P90" s="2"/>
      <c r="Q90" s="2">
        <v>8123837</v>
      </c>
      <c r="R90" s="2"/>
      <c r="S90" s="2">
        <v>130935</v>
      </c>
      <c r="T90" s="2"/>
      <c r="U90" s="2">
        <v>2883824</v>
      </c>
      <c r="V90" s="2"/>
      <c r="W90" s="2">
        <v>1100292</v>
      </c>
      <c r="X90" s="2"/>
      <c r="Y90" s="2">
        <v>428294</v>
      </c>
      <c r="Z90" s="2"/>
      <c r="AA90" s="2">
        <v>512044</v>
      </c>
      <c r="AB90" s="2"/>
      <c r="AC90" s="19" t="s">
        <v>194</v>
      </c>
      <c r="AD90" s="19"/>
      <c r="AE90" s="19" t="s">
        <v>195</v>
      </c>
      <c r="AF90" s="19"/>
      <c r="AG90" s="2">
        <v>0</v>
      </c>
      <c r="AH90" s="2"/>
      <c r="AI90" s="2">
        <v>941491</v>
      </c>
      <c r="AJ90" s="2"/>
      <c r="AK90" s="2"/>
      <c r="AL90" s="2"/>
      <c r="AM90" s="2">
        <v>0</v>
      </c>
      <c r="AN90" s="2"/>
      <c r="AO90" s="2">
        <v>16743644</v>
      </c>
      <c r="AP90" s="2"/>
      <c r="AQ90" s="2">
        <v>0</v>
      </c>
      <c r="AR90" s="2"/>
      <c r="AS90" s="2">
        <v>104710</v>
      </c>
      <c r="AT90" s="2"/>
      <c r="AU90" s="2"/>
      <c r="AV90" s="2"/>
      <c r="AW90" s="2"/>
      <c r="AX90" s="2"/>
      <c r="AY90" s="2">
        <v>0</v>
      </c>
      <c r="AZ90" s="2"/>
      <c r="BA90" s="2">
        <f t="shared" si="2"/>
        <v>46477821</v>
      </c>
      <c r="BB90" s="2"/>
      <c r="BC90" s="2">
        <f>+'St of Act-Rev'!AG88-BA90</f>
        <v>-1723741</v>
      </c>
      <c r="BD90" s="2"/>
      <c r="BE90" s="2">
        <v>9273573</v>
      </c>
      <c r="BF90" s="2"/>
      <c r="BG90" s="13">
        <f t="shared" si="3"/>
        <v>7549832</v>
      </c>
      <c r="BH90" s="13"/>
      <c r="BI90" s="13">
        <f>+'St of Net Assets'!AA86-BG90</f>
        <v>0</v>
      </c>
    </row>
    <row r="91" spans="1:63">
      <c r="A91" s="19" t="s">
        <v>196</v>
      </c>
      <c r="B91" s="19"/>
      <c r="C91" s="19" t="s">
        <v>197</v>
      </c>
      <c r="E91" s="19">
        <v>47407</v>
      </c>
      <c r="G91" s="2">
        <v>120076</v>
      </c>
      <c r="H91" s="2"/>
      <c r="I91" s="2">
        <v>1362738</v>
      </c>
      <c r="J91" s="2"/>
      <c r="K91" s="2">
        <v>0</v>
      </c>
      <c r="L91" s="2"/>
      <c r="M91" s="2">
        <v>0</v>
      </c>
      <c r="N91" s="2"/>
      <c r="O91" s="2">
        <v>993154</v>
      </c>
      <c r="P91" s="2"/>
      <c r="Q91" s="2">
        <v>1970497</v>
      </c>
      <c r="R91" s="2"/>
      <c r="S91" s="2">
        <v>35418</v>
      </c>
      <c r="T91" s="2"/>
      <c r="U91" s="2">
        <v>459135</v>
      </c>
      <c r="V91" s="2"/>
      <c r="W91" s="2">
        <v>233515</v>
      </c>
      <c r="X91" s="2"/>
      <c r="Y91" s="2">
        <v>0</v>
      </c>
      <c r="Z91" s="2"/>
      <c r="AA91" s="2">
        <v>72556</v>
      </c>
      <c r="AB91" s="2"/>
      <c r="AC91" s="19" t="s">
        <v>196</v>
      </c>
      <c r="AD91" s="19"/>
      <c r="AE91" s="19" t="s">
        <v>197</v>
      </c>
      <c r="AF91" s="19"/>
      <c r="AG91" s="2">
        <v>89117</v>
      </c>
      <c r="AH91" s="2"/>
      <c r="AI91" s="2">
        <v>15023</v>
      </c>
      <c r="AJ91" s="2"/>
      <c r="AK91" s="2"/>
      <c r="AL91" s="2"/>
      <c r="AM91" s="2">
        <v>0</v>
      </c>
      <c r="AN91" s="2"/>
      <c r="AO91" s="2">
        <v>3151</v>
      </c>
      <c r="AP91" s="2"/>
      <c r="AQ91" s="2">
        <v>0</v>
      </c>
      <c r="AR91" s="2"/>
      <c r="AS91" s="2">
        <v>0</v>
      </c>
      <c r="AT91" s="2"/>
      <c r="AU91" s="2"/>
      <c r="AV91" s="2"/>
      <c r="AW91" s="2"/>
      <c r="AX91" s="2"/>
      <c r="AY91" s="2">
        <v>0</v>
      </c>
      <c r="AZ91" s="2"/>
      <c r="BA91" s="2">
        <f t="shared" si="2"/>
        <v>5354380</v>
      </c>
      <c r="BB91" s="2"/>
      <c r="BC91" s="2">
        <f>+'St of Act-Rev'!AG89-BA91</f>
        <v>-10480</v>
      </c>
      <c r="BD91" s="2"/>
      <c r="BE91" s="2">
        <v>475978</v>
      </c>
      <c r="BF91" s="2"/>
      <c r="BG91" s="13">
        <f t="shared" si="3"/>
        <v>465498</v>
      </c>
      <c r="BH91" s="13"/>
      <c r="BI91" s="13">
        <f>+'St of Net Assets'!AA87-BG91</f>
        <v>0</v>
      </c>
    </row>
    <row r="92" spans="1:63">
      <c r="A92" s="19" t="s">
        <v>198</v>
      </c>
      <c r="B92" s="19"/>
      <c r="C92" s="19" t="s">
        <v>23</v>
      </c>
      <c r="E92" s="19">
        <v>47480</v>
      </c>
      <c r="G92" s="2">
        <v>251181</v>
      </c>
      <c r="H92" s="2"/>
      <c r="I92" s="2">
        <v>285835</v>
      </c>
      <c r="J92" s="2"/>
      <c r="K92" s="2">
        <v>0</v>
      </c>
      <c r="L92" s="2"/>
      <c r="M92" s="2">
        <v>0</v>
      </c>
      <c r="N92" s="2"/>
      <c r="O92" s="2">
        <v>735702</v>
      </c>
      <c r="P92" s="2"/>
      <c r="Q92" s="2">
        <v>174318</v>
      </c>
      <c r="R92" s="2"/>
      <c r="S92" s="2">
        <v>19507</v>
      </c>
      <c r="T92" s="2"/>
      <c r="U92" s="2">
        <v>245076</v>
      </c>
      <c r="V92" s="2"/>
      <c r="W92" s="2">
        <v>174249</v>
      </c>
      <c r="X92" s="2"/>
      <c r="Y92" s="2">
        <v>0</v>
      </c>
      <c r="Z92" s="2"/>
      <c r="AA92" s="2">
        <v>13192</v>
      </c>
      <c r="AB92" s="2"/>
      <c r="AC92" s="19" t="s">
        <v>198</v>
      </c>
      <c r="AD92" s="19"/>
      <c r="AE92" s="19" t="s">
        <v>23</v>
      </c>
      <c r="AF92" s="19"/>
      <c r="AG92" s="2">
        <v>0</v>
      </c>
      <c r="AH92" s="2"/>
      <c r="AI92" s="2">
        <v>87501</v>
      </c>
      <c r="AJ92" s="2"/>
      <c r="AK92" s="2"/>
      <c r="AL92" s="2"/>
      <c r="AM92" s="2">
        <v>0</v>
      </c>
      <c r="AN92" s="2"/>
      <c r="AO92" s="2">
        <v>0</v>
      </c>
      <c r="AP92" s="2"/>
      <c r="AQ92" s="2">
        <v>2134</v>
      </c>
      <c r="AR92" s="2"/>
      <c r="AS92" s="2">
        <v>0</v>
      </c>
      <c r="AT92" s="2"/>
      <c r="AU92" s="2"/>
      <c r="AV92" s="2"/>
      <c r="AW92" s="2"/>
      <c r="AX92" s="2"/>
      <c r="AY92" s="2">
        <v>534935</v>
      </c>
      <c r="AZ92" s="2"/>
      <c r="BA92" s="2">
        <f t="shared" si="2"/>
        <v>2523630</v>
      </c>
      <c r="BB92" s="2"/>
      <c r="BC92" s="2">
        <f>+'St of Act-Rev'!AG90-BA92</f>
        <v>224427</v>
      </c>
      <c r="BD92" s="2"/>
      <c r="BE92" s="2">
        <v>1154628</v>
      </c>
      <c r="BF92" s="2"/>
      <c r="BG92" s="13">
        <f t="shared" si="3"/>
        <v>1379055</v>
      </c>
      <c r="BH92" s="13"/>
      <c r="BI92" s="13">
        <f>+'St of Net Assets'!AA88-BG92</f>
        <v>0</v>
      </c>
    </row>
    <row r="93" spans="1:63">
      <c r="A93" s="19" t="s">
        <v>199</v>
      </c>
      <c r="B93" s="19"/>
      <c r="C93" s="19" t="s">
        <v>200</v>
      </c>
      <c r="E93" s="19">
        <v>47779</v>
      </c>
      <c r="G93" s="2">
        <v>472929</v>
      </c>
      <c r="H93" s="2"/>
      <c r="I93" s="2">
        <v>404002</v>
      </c>
      <c r="J93" s="2"/>
      <c r="K93" s="2">
        <v>0</v>
      </c>
      <c r="L93" s="2"/>
      <c r="M93" s="2">
        <v>6200</v>
      </c>
      <c r="N93" s="2"/>
      <c r="O93" s="2">
        <v>1231730</v>
      </c>
      <c r="P93" s="2"/>
      <c r="Q93" s="2">
        <v>2707498</v>
      </c>
      <c r="R93" s="2"/>
      <c r="S93" s="2">
        <v>17459</v>
      </c>
      <c r="T93" s="2"/>
      <c r="U93" s="2">
        <v>899125</v>
      </c>
      <c r="V93" s="2"/>
      <c r="W93" s="2">
        <v>254768</v>
      </c>
      <c r="X93" s="2"/>
      <c r="Y93" s="2">
        <v>0</v>
      </c>
      <c r="Z93" s="2"/>
      <c r="AA93" s="2">
        <v>12413</v>
      </c>
      <c r="AB93" s="2"/>
      <c r="AC93" s="19" t="s">
        <v>199</v>
      </c>
      <c r="AD93" s="19"/>
      <c r="AE93" s="19" t="s">
        <v>200</v>
      </c>
      <c r="AF93" s="19"/>
      <c r="AG93" s="2">
        <v>0</v>
      </c>
      <c r="AH93" s="2"/>
      <c r="AI93" s="2">
        <v>4987</v>
      </c>
      <c r="AJ93" s="2"/>
      <c r="AK93" s="2"/>
      <c r="AL93" s="2"/>
      <c r="AM93" s="2">
        <v>0</v>
      </c>
      <c r="AN93" s="2"/>
      <c r="AO93" s="2">
        <v>2916</v>
      </c>
      <c r="AP93" s="2"/>
      <c r="AQ93" s="2">
        <v>0</v>
      </c>
      <c r="AR93" s="2"/>
      <c r="AS93" s="2">
        <v>238</v>
      </c>
      <c r="AT93" s="2"/>
      <c r="AU93" s="2"/>
      <c r="AV93" s="2"/>
      <c r="AW93" s="2"/>
      <c r="AX93" s="2"/>
      <c r="AY93" s="2">
        <v>0</v>
      </c>
      <c r="AZ93" s="2"/>
      <c r="BA93" s="2">
        <f t="shared" si="2"/>
        <v>6014265</v>
      </c>
      <c r="BB93" s="2"/>
      <c r="BC93" s="2">
        <f>+'St of Act-Rev'!AG91-BA93</f>
        <v>1223629</v>
      </c>
      <c r="BD93" s="2"/>
      <c r="BE93" s="2">
        <v>2620240</v>
      </c>
      <c r="BF93" s="2"/>
      <c r="BG93" s="13">
        <f t="shared" si="3"/>
        <v>3843869</v>
      </c>
      <c r="BH93" s="13"/>
      <c r="BI93" s="13">
        <f>+'St of Net Assets'!AA89-BG93</f>
        <v>0</v>
      </c>
    </row>
    <row r="94" spans="1:63">
      <c r="A94" s="19" t="s">
        <v>201</v>
      </c>
      <c r="B94" s="19"/>
      <c r="C94" s="19" t="s">
        <v>202</v>
      </c>
      <c r="E94" s="19">
        <v>47811</v>
      </c>
      <c r="G94" s="2">
        <v>88623</v>
      </c>
      <c r="H94" s="2"/>
      <c r="I94" s="2">
        <v>4121181</v>
      </c>
      <c r="J94" s="2"/>
      <c r="K94" s="2">
        <v>0</v>
      </c>
      <c r="L94" s="2"/>
      <c r="M94" s="2">
        <v>0</v>
      </c>
      <c r="N94" s="2"/>
      <c r="O94" s="2">
        <v>579411</v>
      </c>
      <c r="P94" s="2"/>
      <c r="Q94" s="2">
        <v>923896</v>
      </c>
      <c r="R94" s="2"/>
      <c r="S94" s="2">
        <v>28032</v>
      </c>
      <c r="T94" s="2"/>
      <c r="U94" s="2">
        <v>352467</v>
      </c>
      <c r="V94" s="2"/>
      <c r="W94" s="2">
        <v>91091</v>
      </c>
      <c r="X94" s="2"/>
      <c r="Y94" s="2">
        <v>0</v>
      </c>
      <c r="Z94" s="2"/>
      <c r="AA94" s="2">
        <v>51248</v>
      </c>
      <c r="AB94" s="2"/>
      <c r="AC94" s="19" t="s">
        <v>201</v>
      </c>
      <c r="AD94" s="19"/>
      <c r="AE94" s="19" t="s">
        <v>202</v>
      </c>
      <c r="AF94" s="19"/>
      <c r="AG94" s="2">
        <v>4008</v>
      </c>
      <c r="AH94" s="2"/>
      <c r="AI94" s="2">
        <v>0</v>
      </c>
      <c r="AJ94" s="2"/>
      <c r="AK94" s="2"/>
      <c r="AL94" s="2"/>
      <c r="AM94" s="2">
        <v>0</v>
      </c>
      <c r="AN94" s="2"/>
      <c r="AO94" s="2">
        <v>0</v>
      </c>
      <c r="AP94" s="2"/>
      <c r="AQ94" s="2">
        <v>9364</v>
      </c>
      <c r="AR94" s="2"/>
      <c r="AS94" s="2">
        <v>0</v>
      </c>
      <c r="AT94" s="2"/>
      <c r="AU94" s="2"/>
      <c r="AV94" s="2"/>
      <c r="AW94" s="2"/>
      <c r="AX94" s="2"/>
      <c r="AY94" s="2">
        <v>0</v>
      </c>
      <c r="AZ94" s="2"/>
      <c r="BA94" s="2">
        <f t="shared" si="2"/>
        <v>6249321</v>
      </c>
      <c r="BB94" s="2"/>
      <c r="BC94" s="2">
        <f>+'St of Act-Rev'!AG92-BA94</f>
        <v>-430550</v>
      </c>
      <c r="BD94" s="2"/>
      <c r="BE94" s="2">
        <v>1082216</v>
      </c>
      <c r="BF94" s="2"/>
      <c r="BG94" s="13">
        <f t="shared" si="3"/>
        <v>651666</v>
      </c>
      <c r="BH94" s="13"/>
      <c r="BI94" s="13">
        <f>+'St of Net Assets'!AA90-BG94</f>
        <v>0</v>
      </c>
    </row>
    <row r="95" spans="1:63">
      <c r="A95" s="19" t="s">
        <v>203</v>
      </c>
      <c r="B95" s="19"/>
      <c r="C95" s="19" t="s">
        <v>158</v>
      </c>
      <c r="E95" s="19">
        <v>47860</v>
      </c>
      <c r="G95" s="2">
        <v>460196</v>
      </c>
      <c r="H95" s="2"/>
      <c r="I95" s="2">
        <v>2651532</v>
      </c>
      <c r="J95" s="2"/>
      <c r="K95" s="2">
        <v>352372</v>
      </c>
      <c r="L95" s="2"/>
      <c r="M95" s="2">
        <v>23129</v>
      </c>
      <c r="N95" s="2"/>
      <c r="O95" s="2">
        <v>2570273</v>
      </c>
      <c r="P95" s="2"/>
      <c r="Q95" s="2">
        <v>2460555</v>
      </c>
      <c r="R95" s="2"/>
      <c r="S95" s="2">
        <v>12771</v>
      </c>
      <c r="T95" s="2"/>
      <c r="U95" s="2">
        <v>1624592</v>
      </c>
      <c r="V95" s="2"/>
      <c r="W95" s="2">
        <v>569382</v>
      </c>
      <c r="X95" s="2"/>
      <c r="Y95" s="2">
        <v>0</v>
      </c>
      <c r="Z95" s="2"/>
      <c r="AA95" s="2">
        <v>187539</v>
      </c>
      <c r="AB95" s="2"/>
      <c r="AC95" s="19" t="s">
        <v>203</v>
      </c>
      <c r="AD95" s="19"/>
      <c r="AE95" s="19" t="s">
        <v>158</v>
      </c>
      <c r="AF95" s="19"/>
      <c r="AG95" s="2">
        <v>149020</v>
      </c>
      <c r="AH95" s="2"/>
      <c r="AI95" s="2">
        <v>779649</v>
      </c>
      <c r="AJ95" s="2"/>
      <c r="AK95" s="2"/>
      <c r="AL95" s="2"/>
      <c r="AM95" s="2">
        <v>0</v>
      </c>
      <c r="AN95" s="2"/>
      <c r="AO95" s="2">
        <v>135878</v>
      </c>
      <c r="AP95" s="2"/>
      <c r="AQ95" s="2">
        <v>449</v>
      </c>
      <c r="AR95" s="2"/>
      <c r="AS95" s="2">
        <v>0</v>
      </c>
      <c r="AT95" s="2"/>
      <c r="AU95" s="2"/>
      <c r="AV95" s="2"/>
      <c r="AW95" s="2"/>
      <c r="AX95" s="2"/>
      <c r="AY95" s="2">
        <v>0</v>
      </c>
      <c r="AZ95" s="2"/>
      <c r="BA95" s="2">
        <f t="shared" si="2"/>
        <v>11977337</v>
      </c>
      <c r="BB95" s="2"/>
      <c r="BC95" s="2">
        <f>+'St of Act-Rev'!AG93-BA95</f>
        <v>571081</v>
      </c>
      <c r="BD95" s="2"/>
      <c r="BE95" s="2">
        <v>3325</v>
      </c>
      <c r="BF95" s="2"/>
      <c r="BG95" s="13">
        <f t="shared" si="3"/>
        <v>574406</v>
      </c>
      <c r="BH95" s="13"/>
      <c r="BI95" s="13">
        <f>+'St of Net Assets'!AA91-BG95</f>
        <v>0</v>
      </c>
      <c r="BK95" s="60"/>
    </row>
    <row r="96" spans="1:63">
      <c r="A96" s="19" t="s">
        <v>204</v>
      </c>
      <c r="B96" s="19"/>
      <c r="C96" s="19" t="s">
        <v>205</v>
      </c>
      <c r="E96" s="19">
        <v>47910</v>
      </c>
      <c r="G96" s="2">
        <v>275771</v>
      </c>
      <c r="H96" s="2"/>
      <c r="I96" s="2">
        <v>0</v>
      </c>
      <c r="J96" s="2"/>
      <c r="K96" s="2">
        <v>0</v>
      </c>
      <c r="L96" s="2"/>
      <c r="M96" s="2">
        <v>0</v>
      </c>
      <c r="N96" s="2"/>
      <c r="O96" s="2">
        <v>480793</v>
      </c>
      <c r="P96" s="2"/>
      <c r="Q96" s="2">
        <v>373760</v>
      </c>
      <c r="R96" s="2"/>
      <c r="S96" s="2">
        <v>74601</v>
      </c>
      <c r="T96" s="2"/>
      <c r="U96" s="2">
        <v>245445</v>
      </c>
      <c r="V96" s="2"/>
      <c r="W96" s="2">
        <v>142856</v>
      </c>
      <c r="X96" s="2"/>
      <c r="Y96" s="2">
        <v>260</v>
      </c>
      <c r="Z96" s="2"/>
      <c r="AA96" s="2">
        <v>23636</v>
      </c>
      <c r="AB96" s="2"/>
      <c r="AC96" s="19" t="s">
        <v>204</v>
      </c>
      <c r="AD96" s="19"/>
      <c r="AE96" s="19" t="s">
        <v>205</v>
      </c>
      <c r="AF96" s="19"/>
      <c r="AG96" s="2">
        <v>0</v>
      </c>
      <c r="AH96" s="2"/>
      <c r="AI96" s="2">
        <v>70059</v>
      </c>
      <c r="AJ96" s="2"/>
      <c r="AK96" s="2"/>
      <c r="AL96" s="2"/>
      <c r="AM96" s="2">
        <v>0</v>
      </c>
      <c r="AN96" s="2"/>
      <c r="AO96" s="2">
        <v>0</v>
      </c>
      <c r="AP96" s="2"/>
      <c r="AQ96" s="2">
        <v>0</v>
      </c>
      <c r="AR96" s="2"/>
      <c r="AS96" s="2">
        <v>0</v>
      </c>
      <c r="AT96" s="2"/>
      <c r="AU96" s="2"/>
      <c r="AV96" s="2"/>
      <c r="AW96" s="2"/>
      <c r="AX96" s="2"/>
      <c r="AY96" s="2">
        <v>0</v>
      </c>
      <c r="AZ96" s="2"/>
      <c r="BA96" s="2">
        <f t="shared" si="2"/>
        <v>1687181</v>
      </c>
      <c r="BB96" s="2"/>
      <c r="BC96" s="2">
        <f>+'St of Act-Rev'!AG94-BA96</f>
        <v>46645</v>
      </c>
      <c r="BD96" s="2"/>
      <c r="BE96" s="2">
        <v>354105</v>
      </c>
      <c r="BF96" s="2"/>
      <c r="BG96" s="13">
        <f t="shared" si="3"/>
        <v>400750</v>
      </c>
      <c r="BH96" s="13"/>
      <c r="BI96" s="13">
        <f>+'St of Net Assets'!AA92-BG96</f>
        <v>0</v>
      </c>
    </row>
    <row r="97" spans="1:63">
      <c r="A97" s="13" t="s">
        <v>206</v>
      </c>
      <c r="B97" s="13"/>
      <c r="C97" s="13" t="s">
        <v>207</v>
      </c>
      <c r="E97" s="19"/>
      <c r="G97" s="2">
        <v>8077</v>
      </c>
      <c r="H97" s="2"/>
      <c r="I97" s="2">
        <v>2782350</v>
      </c>
      <c r="J97" s="2"/>
      <c r="K97" s="2">
        <v>0</v>
      </c>
      <c r="L97" s="2"/>
      <c r="M97" s="2">
        <v>0</v>
      </c>
      <c r="N97" s="2"/>
      <c r="O97" s="2">
        <v>1570853</v>
      </c>
      <c r="P97" s="2"/>
      <c r="Q97" s="2">
        <v>4689401</v>
      </c>
      <c r="R97" s="2"/>
      <c r="S97" s="2">
        <v>13500</v>
      </c>
      <c r="T97" s="2"/>
      <c r="U97" s="2">
        <v>916367</v>
      </c>
      <c r="V97" s="2"/>
      <c r="W97" s="2">
        <v>269949</v>
      </c>
      <c r="X97" s="2"/>
      <c r="Y97" s="2">
        <v>11054</v>
      </c>
      <c r="Z97" s="2"/>
      <c r="AA97" s="2">
        <v>99692</v>
      </c>
      <c r="AB97" s="2"/>
      <c r="AC97" s="13" t="s">
        <v>206</v>
      </c>
      <c r="AD97" s="13"/>
      <c r="AE97" s="13" t="s">
        <v>207</v>
      </c>
      <c r="AF97" s="13"/>
      <c r="AG97" s="2">
        <v>0</v>
      </c>
      <c r="AH97" s="2"/>
      <c r="AI97" s="2">
        <v>258756</v>
      </c>
      <c r="AJ97" s="2"/>
      <c r="AK97" s="2"/>
      <c r="AL97" s="2"/>
      <c r="AM97" s="2">
        <v>0</v>
      </c>
      <c r="AN97" s="2"/>
      <c r="AO97" s="2">
        <v>0</v>
      </c>
      <c r="AP97" s="2"/>
      <c r="AQ97" s="2">
        <v>0</v>
      </c>
      <c r="AR97" s="2"/>
      <c r="AS97" s="2">
        <v>3918</v>
      </c>
      <c r="AT97" s="2"/>
      <c r="AU97" s="2"/>
      <c r="AV97" s="2"/>
      <c r="AW97" s="2"/>
      <c r="AX97" s="2"/>
      <c r="AY97" s="2">
        <v>55907</v>
      </c>
      <c r="AZ97" s="2"/>
      <c r="BA97" s="2">
        <f t="shared" si="2"/>
        <v>10679824</v>
      </c>
      <c r="BB97" s="2"/>
      <c r="BC97" s="2">
        <f>+'St of Act-Rev'!AG95-BA97</f>
        <v>74509</v>
      </c>
      <c r="BD97" s="2"/>
      <c r="BE97" s="2">
        <v>2163482</v>
      </c>
      <c r="BF97" s="2"/>
      <c r="BG97" s="13">
        <f>+BC97+BE97</f>
        <v>2237991</v>
      </c>
      <c r="BH97" s="13"/>
      <c r="BI97" s="13">
        <f>+'St of Net Assets'!AA93-BG97</f>
        <v>0</v>
      </c>
    </row>
    <row r="98" spans="1:63">
      <c r="A98" s="19" t="s">
        <v>208</v>
      </c>
      <c r="B98" s="19"/>
      <c r="C98" s="19" t="s">
        <v>209</v>
      </c>
      <c r="E98" s="19">
        <v>48058</v>
      </c>
      <c r="G98" s="2">
        <v>0</v>
      </c>
      <c r="H98" s="2"/>
      <c r="I98" s="2">
        <v>1943780</v>
      </c>
      <c r="J98" s="2"/>
      <c r="K98" s="2">
        <v>0</v>
      </c>
      <c r="L98" s="2"/>
      <c r="M98" s="2">
        <v>0</v>
      </c>
      <c r="N98" s="2"/>
      <c r="O98" s="2">
        <v>512304</v>
      </c>
      <c r="P98" s="2"/>
      <c r="Q98" s="2">
        <v>234403</v>
      </c>
      <c r="R98" s="2"/>
      <c r="S98" s="2">
        <v>9783</v>
      </c>
      <c r="T98" s="2"/>
      <c r="U98" s="2">
        <v>154520</v>
      </c>
      <c r="V98" s="2"/>
      <c r="W98" s="2">
        <v>339180</v>
      </c>
      <c r="X98" s="2"/>
      <c r="Y98" s="2">
        <v>0</v>
      </c>
      <c r="Z98" s="2"/>
      <c r="AA98" s="2">
        <v>9422</v>
      </c>
      <c r="AB98" s="2"/>
      <c r="AC98" s="19" t="s">
        <v>208</v>
      </c>
      <c r="AD98" s="19"/>
      <c r="AE98" s="19" t="s">
        <v>209</v>
      </c>
      <c r="AF98" s="19"/>
      <c r="AG98" s="2">
        <v>0</v>
      </c>
      <c r="AH98" s="2"/>
      <c r="AI98" s="2">
        <v>40978</v>
      </c>
      <c r="AJ98" s="2"/>
      <c r="AK98" s="2"/>
      <c r="AL98" s="2"/>
      <c r="AM98" s="2">
        <v>0</v>
      </c>
      <c r="AN98" s="2"/>
      <c r="AO98" s="2">
        <v>31739</v>
      </c>
      <c r="AP98" s="2"/>
      <c r="AQ98" s="2">
        <v>125</v>
      </c>
      <c r="AR98" s="2"/>
      <c r="AS98" s="2">
        <v>0</v>
      </c>
      <c r="AT98" s="2"/>
      <c r="AU98" s="2"/>
      <c r="AV98" s="2"/>
      <c r="AW98" s="2"/>
      <c r="AX98" s="2"/>
      <c r="AY98" s="2">
        <v>0</v>
      </c>
      <c r="AZ98" s="2"/>
      <c r="BA98" s="2">
        <f t="shared" si="2"/>
        <v>3276234</v>
      </c>
      <c r="BB98" s="2"/>
      <c r="BC98" s="2">
        <f>+'St of Act-Rev'!AG96-BA98</f>
        <v>-7938</v>
      </c>
      <c r="BD98" s="2"/>
      <c r="BE98" s="2">
        <v>518363</v>
      </c>
      <c r="BF98" s="2"/>
      <c r="BG98" s="13">
        <f t="shared" si="3"/>
        <v>510425</v>
      </c>
      <c r="BH98" s="13"/>
      <c r="BI98" s="13">
        <f>+'St of Net Assets'!AA94-BG98</f>
        <v>0</v>
      </c>
    </row>
    <row r="99" spans="1:63">
      <c r="A99" s="19" t="s">
        <v>210</v>
      </c>
      <c r="B99" s="19"/>
      <c r="C99" s="19" t="s">
        <v>154</v>
      </c>
      <c r="E99" s="19">
        <v>48108</v>
      </c>
      <c r="G99" s="2">
        <v>845957</v>
      </c>
      <c r="H99" s="2"/>
      <c r="I99" s="2">
        <v>1237164</v>
      </c>
      <c r="J99" s="2"/>
      <c r="K99" s="2">
        <v>0</v>
      </c>
      <c r="L99" s="2"/>
      <c r="M99" s="2">
        <v>0</v>
      </c>
      <c r="N99" s="2"/>
      <c r="O99" s="2">
        <v>1318733</v>
      </c>
      <c r="P99" s="2"/>
      <c r="Q99" s="2">
        <v>5038723</v>
      </c>
      <c r="R99" s="2"/>
      <c r="S99" s="2">
        <v>52344</v>
      </c>
      <c r="T99" s="2"/>
      <c r="U99" s="2">
        <v>786646</v>
      </c>
      <c r="V99" s="2"/>
      <c r="W99" s="2">
        <v>389933</v>
      </c>
      <c r="X99" s="2"/>
      <c r="Y99" s="2">
        <v>421657</v>
      </c>
      <c r="Z99" s="2"/>
      <c r="AA99" s="2">
        <v>332737</v>
      </c>
      <c r="AB99" s="2"/>
      <c r="AC99" s="19" t="s">
        <v>210</v>
      </c>
      <c r="AD99" s="19"/>
      <c r="AE99" s="19" t="s">
        <v>154</v>
      </c>
      <c r="AF99" s="19"/>
      <c r="AG99" s="2">
        <v>0</v>
      </c>
      <c r="AH99" s="2"/>
      <c r="AI99" s="2">
        <v>4993</v>
      </c>
      <c r="AJ99" s="2"/>
      <c r="AK99" s="2">
        <v>311</v>
      </c>
      <c r="AL99" s="2"/>
      <c r="AM99" s="2">
        <v>0</v>
      </c>
      <c r="AN99" s="2"/>
      <c r="AO99" s="2">
        <v>0</v>
      </c>
      <c r="AP99" s="2"/>
      <c r="AQ99" s="2">
        <v>14371</v>
      </c>
      <c r="AR99" s="2"/>
      <c r="AS99" s="2">
        <v>200</v>
      </c>
      <c r="AT99" s="2"/>
      <c r="AU99" s="2"/>
      <c r="AV99" s="2"/>
      <c r="AW99" s="2"/>
      <c r="AX99" s="2"/>
      <c r="AY99" s="2">
        <v>0</v>
      </c>
      <c r="AZ99" s="2"/>
      <c r="BA99" s="2">
        <f t="shared" si="2"/>
        <v>10443769</v>
      </c>
      <c r="BB99" s="2"/>
      <c r="BC99" s="2">
        <f>+'St of Act-Rev'!AG97-BA99</f>
        <v>46346</v>
      </c>
      <c r="BD99" s="2"/>
      <c r="BE99" s="2">
        <v>3899418</v>
      </c>
      <c r="BF99" s="2"/>
      <c r="BG99" s="13">
        <f t="shared" si="3"/>
        <v>3945764</v>
      </c>
      <c r="BH99" s="13"/>
      <c r="BI99" s="13">
        <f>+'St of Net Assets'!AA95-BG99</f>
        <v>0</v>
      </c>
    </row>
    <row r="100" spans="1:63">
      <c r="A100" s="19" t="s">
        <v>211</v>
      </c>
      <c r="B100" s="19"/>
      <c r="C100" s="19" t="s">
        <v>212</v>
      </c>
      <c r="E100" s="19">
        <v>48199</v>
      </c>
      <c r="G100" s="2">
        <v>46019</v>
      </c>
      <c r="H100" s="2"/>
      <c r="I100" s="2">
        <v>6322669</v>
      </c>
      <c r="J100" s="2"/>
      <c r="K100" s="2">
        <v>93354</v>
      </c>
      <c r="L100" s="2"/>
      <c r="M100" s="2">
        <v>41495</v>
      </c>
      <c r="N100" s="2"/>
      <c r="O100" s="2">
        <v>5815654</v>
      </c>
      <c r="P100" s="2"/>
      <c r="Q100" s="2">
        <v>5662468</v>
      </c>
      <c r="R100" s="2"/>
      <c r="S100" s="2">
        <v>36271</v>
      </c>
      <c r="T100" s="2"/>
      <c r="U100" s="2">
        <v>2652335</v>
      </c>
      <c r="V100" s="2"/>
      <c r="W100" s="2">
        <v>1191807</v>
      </c>
      <c r="X100" s="2"/>
      <c r="Y100" s="2">
        <v>93672</v>
      </c>
      <c r="Z100" s="2"/>
      <c r="AA100" s="2">
        <v>1117224</v>
      </c>
      <c r="AB100" s="2"/>
      <c r="AC100" s="19" t="s">
        <v>211</v>
      </c>
      <c r="AD100" s="19"/>
      <c r="AE100" s="19" t="s">
        <v>212</v>
      </c>
      <c r="AF100" s="19"/>
      <c r="AG100" s="2">
        <v>142944</v>
      </c>
      <c r="AH100" s="2"/>
      <c r="AI100" s="2">
        <v>344407</v>
      </c>
      <c r="AJ100" s="2"/>
      <c r="AK100" s="2"/>
      <c r="AL100" s="2"/>
      <c r="AM100" s="2">
        <v>36265</v>
      </c>
      <c r="AN100" s="2"/>
      <c r="AO100" s="2">
        <v>3619134</v>
      </c>
      <c r="AP100" s="2"/>
      <c r="AQ100" s="2">
        <v>2088</v>
      </c>
      <c r="AR100" s="2"/>
      <c r="AS100" s="2">
        <v>0</v>
      </c>
      <c r="AT100" s="2"/>
      <c r="AU100" s="2"/>
      <c r="AV100" s="2"/>
      <c r="AW100" s="2"/>
      <c r="AX100" s="2"/>
      <c r="AY100" s="2">
        <v>0</v>
      </c>
      <c r="AZ100" s="2"/>
      <c r="BA100" s="2">
        <f t="shared" si="2"/>
        <v>27217806</v>
      </c>
      <c r="BB100" s="2"/>
      <c r="BC100" s="2">
        <f>+'St of Act-Rev'!AG98-BA100</f>
        <v>335181</v>
      </c>
      <c r="BD100" s="2"/>
      <c r="BE100" s="2">
        <v>7540418</v>
      </c>
      <c r="BF100" s="2"/>
      <c r="BG100" s="13">
        <f t="shared" si="3"/>
        <v>7875599</v>
      </c>
      <c r="BH100" s="13"/>
      <c r="BI100" s="13">
        <f>+'St of Net Assets'!AA96-BG100</f>
        <v>0</v>
      </c>
    </row>
    <row r="101" spans="1:63" s="96" customFormat="1">
      <c r="A101" s="19" t="s">
        <v>166</v>
      </c>
      <c r="B101" s="19"/>
      <c r="C101" s="19" t="s">
        <v>167</v>
      </c>
      <c r="E101" s="19">
        <v>137364</v>
      </c>
      <c r="G101" s="2">
        <v>418534</v>
      </c>
      <c r="H101" s="2"/>
      <c r="I101" s="2">
        <v>2732166</v>
      </c>
      <c r="J101" s="2"/>
      <c r="K101" s="2">
        <v>0</v>
      </c>
      <c r="L101" s="2"/>
      <c r="M101" s="2">
        <v>24399</v>
      </c>
      <c r="N101" s="2"/>
      <c r="O101" s="2">
        <v>2558977</v>
      </c>
      <c r="P101" s="2"/>
      <c r="Q101" s="2">
        <v>2526965</v>
      </c>
      <c r="R101" s="2"/>
      <c r="S101" s="2">
        <v>10509</v>
      </c>
      <c r="T101" s="2"/>
      <c r="U101" s="2">
        <v>1439370</v>
      </c>
      <c r="V101" s="2"/>
      <c r="W101" s="2">
        <v>348976</v>
      </c>
      <c r="X101" s="2"/>
      <c r="Y101" s="2">
        <v>6091</v>
      </c>
      <c r="Z101" s="2"/>
      <c r="AA101" s="2">
        <v>25173</v>
      </c>
      <c r="AB101" s="2"/>
      <c r="AC101" s="19" t="s">
        <v>166</v>
      </c>
      <c r="AD101" s="19"/>
      <c r="AE101" s="19" t="s">
        <v>167</v>
      </c>
      <c r="AF101" s="19"/>
      <c r="AG101" s="2">
        <v>229910</v>
      </c>
      <c r="AH101" s="2"/>
      <c r="AI101" s="2">
        <v>168797</v>
      </c>
      <c r="AJ101" s="2"/>
      <c r="AK101" s="2"/>
      <c r="AL101" s="2"/>
      <c r="AM101" s="2">
        <v>67943</v>
      </c>
      <c r="AN101" s="2"/>
      <c r="AO101" s="2">
        <v>100</v>
      </c>
      <c r="AP101" s="2"/>
      <c r="AQ101" s="2">
        <v>198</v>
      </c>
      <c r="AR101" s="2"/>
      <c r="AS101" s="2">
        <v>5108</v>
      </c>
      <c r="AT101" s="2"/>
      <c r="AU101" s="2"/>
      <c r="AV101" s="2"/>
      <c r="AW101" s="2"/>
      <c r="AX101" s="2"/>
      <c r="AY101" s="2">
        <v>0</v>
      </c>
      <c r="AZ101" s="2"/>
      <c r="BA101" s="2">
        <f t="shared" si="2"/>
        <v>10563216</v>
      </c>
      <c r="BB101" s="2"/>
      <c r="BC101" s="2">
        <f>+'St of Act-Rev'!AG99-BA101</f>
        <v>-244959</v>
      </c>
      <c r="BD101" s="2"/>
      <c r="BE101" s="2">
        <v>162022</v>
      </c>
      <c r="BF101" s="2"/>
      <c r="BG101" s="13">
        <f t="shared" si="3"/>
        <v>-82937</v>
      </c>
      <c r="BH101" s="13"/>
      <c r="BI101" s="13">
        <f>+'St of Net Assets'!AA97-BG101</f>
        <v>0</v>
      </c>
      <c r="BJ101" s="98"/>
    </row>
    <row r="102" spans="1:63" s="96" customFormat="1">
      <c r="A102" s="19" t="s">
        <v>213</v>
      </c>
      <c r="B102" s="19"/>
      <c r="C102" s="19" t="s">
        <v>214</v>
      </c>
      <c r="E102" s="19">
        <v>48280</v>
      </c>
      <c r="G102" s="2">
        <v>1801985</v>
      </c>
      <c r="H102" s="2"/>
      <c r="I102" s="2">
        <v>5783733</v>
      </c>
      <c r="J102" s="2"/>
      <c r="K102" s="2">
        <v>60110</v>
      </c>
      <c r="L102" s="2"/>
      <c r="M102" s="2">
        <v>792</v>
      </c>
      <c r="N102" s="2"/>
      <c r="O102" s="2">
        <v>5197846</v>
      </c>
      <c r="P102" s="2"/>
      <c r="Q102" s="2">
        <v>6033938</v>
      </c>
      <c r="R102" s="2"/>
      <c r="S102" s="2">
        <v>64980</v>
      </c>
      <c r="T102" s="2"/>
      <c r="U102" s="2">
        <v>1291108</v>
      </c>
      <c r="V102" s="2"/>
      <c r="W102" s="2">
        <v>1435091</v>
      </c>
      <c r="X102" s="2"/>
      <c r="Y102" s="2">
        <v>327561</v>
      </c>
      <c r="Z102" s="2"/>
      <c r="AA102" s="2">
        <v>506137</v>
      </c>
      <c r="AB102" s="2"/>
      <c r="AC102" s="19" t="s">
        <v>213</v>
      </c>
      <c r="AD102" s="19"/>
      <c r="AE102" s="19" t="s">
        <v>214</v>
      </c>
      <c r="AF102" s="19"/>
      <c r="AG102" s="2">
        <v>17482</v>
      </c>
      <c r="AH102" s="2"/>
      <c r="AI102" s="2">
        <v>3309609</v>
      </c>
      <c r="AJ102" s="2"/>
      <c r="AK102" s="2"/>
      <c r="AL102" s="2"/>
      <c r="AM102" s="2">
        <v>0</v>
      </c>
      <c r="AN102" s="2"/>
      <c r="AO102" s="2">
        <v>215647</v>
      </c>
      <c r="AP102" s="2"/>
      <c r="AQ102" s="2">
        <v>0</v>
      </c>
      <c r="AR102" s="2"/>
      <c r="AS102" s="2">
        <v>0</v>
      </c>
      <c r="AT102" s="2"/>
      <c r="AU102" s="2"/>
      <c r="AV102" s="2"/>
      <c r="AW102" s="2"/>
      <c r="AX102" s="2"/>
      <c r="AY102" s="2">
        <v>0</v>
      </c>
      <c r="AZ102" s="2"/>
      <c r="BA102" s="2">
        <f t="shared" si="2"/>
        <v>26046019</v>
      </c>
      <c r="BB102" s="2"/>
      <c r="BC102" s="2">
        <f>+'St of Act-Rev'!AG100-BA102</f>
        <v>678784</v>
      </c>
      <c r="BD102" s="2"/>
      <c r="BE102" s="2">
        <v>5945963</v>
      </c>
      <c r="BF102" s="2"/>
      <c r="BG102" s="13">
        <f t="shared" si="3"/>
        <v>6624747</v>
      </c>
      <c r="BH102" s="13"/>
      <c r="BI102" s="13">
        <f>+'St of Net Assets'!AA98-BG102</f>
        <v>0</v>
      </c>
      <c r="BJ102" s="98"/>
    </row>
    <row r="103" spans="1:63" s="96" customFormat="1">
      <c r="A103" s="19" t="s">
        <v>215</v>
      </c>
      <c r="B103" s="19"/>
      <c r="C103" s="19" t="s">
        <v>216</v>
      </c>
      <c r="E103" s="19">
        <v>48454</v>
      </c>
      <c r="G103" s="2">
        <v>358801</v>
      </c>
      <c r="H103" s="2"/>
      <c r="I103" s="2">
        <v>448372</v>
      </c>
      <c r="J103" s="2"/>
      <c r="K103" s="2">
        <v>58109</v>
      </c>
      <c r="L103" s="2"/>
      <c r="M103" s="2">
        <v>221174</v>
      </c>
      <c r="N103" s="2"/>
      <c r="O103" s="2">
        <v>575989</v>
      </c>
      <c r="P103" s="2"/>
      <c r="Q103" s="2">
        <v>2688542</v>
      </c>
      <c r="R103" s="2"/>
      <c r="S103" s="2">
        <v>55406</v>
      </c>
      <c r="T103" s="2"/>
      <c r="U103" s="2">
        <v>176473</v>
      </c>
      <c r="V103" s="2"/>
      <c r="W103" s="2">
        <v>255462</v>
      </c>
      <c r="X103" s="2"/>
      <c r="Y103" s="2">
        <v>274388</v>
      </c>
      <c r="Z103" s="2"/>
      <c r="AA103" s="2">
        <v>0</v>
      </c>
      <c r="AB103" s="2"/>
      <c r="AC103" s="19" t="s">
        <v>215</v>
      </c>
      <c r="AD103" s="19"/>
      <c r="AE103" s="19" t="s">
        <v>216</v>
      </c>
      <c r="AF103" s="19"/>
      <c r="AG103" s="2">
        <v>45</v>
      </c>
      <c r="AH103" s="2"/>
      <c r="AI103" s="2">
        <v>292796</v>
      </c>
      <c r="AJ103" s="2"/>
      <c r="AK103" s="2"/>
      <c r="AL103" s="2"/>
      <c r="AM103" s="2">
        <v>0</v>
      </c>
      <c r="AN103" s="2"/>
      <c r="AO103" s="2">
        <v>645</v>
      </c>
      <c r="AP103" s="2"/>
      <c r="AQ103" s="2">
        <v>25280</v>
      </c>
      <c r="AR103" s="2"/>
      <c r="AS103" s="2">
        <v>0</v>
      </c>
      <c r="AT103" s="2"/>
      <c r="AU103" s="2"/>
      <c r="AV103" s="2"/>
      <c r="AW103" s="2"/>
      <c r="AX103" s="2"/>
      <c r="AY103" s="2">
        <v>0</v>
      </c>
      <c r="AZ103" s="2"/>
      <c r="BA103" s="2">
        <f t="shared" si="2"/>
        <v>5431482</v>
      </c>
      <c r="BB103" s="2"/>
      <c r="BC103" s="2">
        <f>+'St of Act-Rev'!AG101-BA103</f>
        <v>-177811</v>
      </c>
      <c r="BD103" s="2"/>
      <c r="BE103" s="2">
        <v>2206618</v>
      </c>
      <c r="BF103" s="2"/>
      <c r="BG103" s="13">
        <f t="shared" si="3"/>
        <v>2028807</v>
      </c>
      <c r="BH103" s="13"/>
      <c r="BI103" s="13">
        <f>+'St of Net Assets'!AA99-BG103</f>
        <v>0</v>
      </c>
      <c r="BJ103" s="98"/>
    </row>
    <row r="104" spans="1:63" s="96" customFormat="1" hidden="1">
      <c r="A104" s="13" t="s">
        <v>419</v>
      </c>
      <c r="B104" s="19"/>
      <c r="C104" s="19" t="s">
        <v>218</v>
      </c>
      <c r="E104" s="19">
        <v>48546</v>
      </c>
      <c r="G104" s="2">
        <v>200354</v>
      </c>
      <c r="H104" s="2"/>
      <c r="I104" s="2">
        <v>2725427</v>
      </c>
      <c r="J104" s="2"/>
      <c r="K104" s="2"/>
      <c r="L104" s="2"/>
      <c r="M104" s="2"/>
      <c r="N104" s="2"/>
      <c r="O104" s="2">
        <v>1490113</v>
      </c>
      <c r="P104" s="2"/>
      <c r="Q104" s="2">
        <v>332383</v>
      </c>
      <c r="R104" s="2"/>
      <c r="S104" s="2">
        <v>75229</v>
      </c>
      <c r="T104" s="2"/>
      <c r="U104" s="2">
        <v>335360</v>
      </c>
      <c r="V104" s="2"/>
      <c r="W104" s="2">
        <v>96952</v>
      </c>
      <c r="X104" s="2"/>
      <c r="Y104" s="2">
        <v>9957</v>
      </c>
      <c r="Z104" s="2"/>
      <c r="AA104" s="2">
        <v>34775</v>
      </c>
      <c r="AB104" s="2"/>
      <c r="AC104" s="19" t="s">
        <v>217</v>
      </c>
      <c r="AD104" s="19"/>
      <c r="AE104" s="19" t="s">
        <v>218</v>
      </c>
      <c r="AF104" s="19"/>
      <c r="AG104" s="2">
        <v>143753</v>
      </c>
      <c r="AH104" s="2"/>
      <c r="AI104" s="2">
        <v>44902</v>
      </c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>
        <f>2946+133+788860</f>
        <v>791939</v>
      </c>
      <c r="AZ104" s="2"/>
      <c r="BA104" s="2">
        <f t="shared" si="2"/>
        <v>6281144</v>
      </c>
      <c r="BB104" s="2"/>
      <c r="BC104" s="2">
        <f>+'St of Act-Rev'!AG102-BA104</f>
        <v>120665</v>
      </c>
      <c r="BD104" s="2"/>
      <c r="BE104" s="2">
        <v>1096545</v>
      </c>
      <c r="BF104" s="2"/>
      <c r="BG104" s="13">
        <f t="shared" si="3"/>
        <v>1217210</v>
      </c>
      <c r="BH104" s="13"/>
      <c r="BI104" s="13">
        <f>+'St of Net Assets'!AA100-BG104</f>
        <v>0</v>
      </c>
      <c r="BJ104" s="98"/>
      <c r="BK104" s="63" t="s">
        <v>373</v>
      </c>
    </row>
    <row r="105" spans="1:63" s="96" customFormat="1">
      <c r="A105" s="19" t="s">
        <v>219</v>
      </c>
      <c r="B105" s="19"/>
      <c r="C105" s="19" t="s">
        <v>220</v>
      </c>
      <c r="E105" s="19">
        <v>48603</v>
      </c>
      <c r="G105" s="2">
        <v>324979</v>
      </c>
      <c r="H105" s="2"/>
      <c r="I105" s="2">
        <v>3917370</v>
      </c>
      <c r="J105" s="2"/>
      <c r="K105" s="2">
        <v>0</v>
      </c>
      <c r="L105" s="2"/>
      <c r="M105" s="2">
        <v>0</v>
      </c>
      <c r="N105" s="2"/>
      <c r="O105" s="2">
        <v>2672180</v>
      </c>
      <c r="P105" s="2"/>
      <c r="Q105" s="2">
        <v>2407083</v>
      </c>
      <c r="R105" s="2"/>
      <c r="S105" s="2">
        <v>18631</v>
      </c>
      <c r="T105" s="2"/>
      <c r="U105" s="2">
        <v>1344069</v>
      </c>
      <c r="V105" s="2"/>
      <c r="W105" s="2">
        <v>187507</v>
      </c>
      <c r="X105" s="2"/>
      <c r="Y105" s="2">
        <v>0</v>
      </c>
      <c r="Z105" s="2"/>
      <c r="AA105" s="2">
        <v>67121</v>
      </c>
      <c r="AB105" s="2"/>
      <c r="AC105" s="19" t="s">
        <v>219</v>
      </c>
      <c r="AD105" s="19"/>
      <c r="AE105" s="19" t="s">
        <v>220</v>
      </c>
      <c r="AF105" s="19"/>
      <c r="AG105" s="2">
        <v>9802</v>
      </c>
      <c r="AH105" s="2"/>
      <c r="AI105" s="2">
        <v>451075</v>
      </c>
      <c r="AJ105" s="2"/>
      <c r="AK105" s="2"/>
      <c r="AL105" s="2"/>
      <c r="AM105" s="2">
        <v>0</v>
      </c>
      <c r="AN105" s="2"/>
      <c r="AO105" s="2">
        <v>0</v>
      </c>
      <c r="AP105" s="2"/>
      <c r="AQ105" s="2">
        <v>1180</v>
      </c>
      <c r="AR105" s="2"/>
      <c r="AS105" s="2">
        <v>921</v>
      </c>
      <c r="AT105" s="2"/>
      <c r="AU105" s="2"/>
      <c r="AV105" s="2"/>
      <c r="AW105" s="2"/>
      <c r="AX105" s="2"/>
      <c r="AY105" s="2">
        <v>0</v>
      </c>
      <c r="AZ105" s="2"/>
      <c r="BA105" s="2">
        <f t="shared" si="2"/>
        <v>11401918</v>
      </c>
      <c r="BB105" s="2"/>
      <c r="BC105" s="2">
        <f>+'St of Act-Rev'!AG103-BA105</f>
        <v>-182081</v>
      </c>
      <c r="BD105" s="2"/>
      <c r="BE105" s="2">
        <v>2584680</v>
      </c>
      <c r="BF105" s="2"/>
      <c r="BG105" s="13">
        <f t="shared" si="3"/>
        <v>2402599</v>
      </c>
      <c r="BH105" s="13"/>
      <c r="BI105" s="13">
        <f>+'St of Net Assets'!AA101-BG105</f>
        <v>0</v>
      </c>
      <c r="BJ105" s="98"/>
    </row>
    <row r="106" spans="1:63" s="96" customFormat="1" hidden="1">
      <c r="A106" s="2" t="s">
        <v>418</v>
      </c>
      <c r="B106" s="2"/>
      <c r="C106" s="2" t="s">
        <v>236</v>
      </c>
      <c r="E106" s="19"/>
      <c r="G106" s="2">
        <v>585956</v>
      </c>
      <c r="H106" s="2"/>
      <c r="I106" s="2">
        <v>4164124</v>
      </c>
      <c r="J106" s="2"/>
      <c r="K106" s="2"/>
      <c r="L106" s="2"/>
      <c r="M106" s="2">
        <v>22061</v>
      </c>
      <c r="N106" s="2"/>
      <c r="O106" s="2">
        <v>3783873</v>
      </c>
      <c r="P106" s="2"/>
      <c r="Q106" s="2">
        <v>4477434</v>
      </c>
      <c r="R106" s="2"/>
      <c r="S106" s="2">
        <v>88846</v>
      </c>
      <c r="T106" s="2"/>
      <c r="U106" s="2">
        <v>1470329</v>
      </c>
      <c r="V106" s="2"/>
      <c r="W106" s="2">
        <v>489113</v>
      </c>
      <c r="X106" s="2"/>
      <c r="Y106" s="2">
        <v>279540</v>
      </c>
      <c r="Z106" s="2"/>
      <c r="AA106" s="2">
        <v>533972</v>
      </c>
      <c r="AB106" s="2"/>
      <c r="AC106" s="2" t="s">
        <v>418</v>
      </c>
      <c r="AD106" s="2"/>
      <c r="AE106" s="2" t="s">
        <v>236</v>
      </c>
      <c r="AF106" s="2"/>
      <c r="AG106" s="2"/>
      <c r="AH106" s="2"/>
      <c r="AI106" s="2">
        <v>241103</v>
      </c>
      <c r="AJ106" s="2"/>
      <c r="AK106" s="2"/>
      <c r="AL106" s="2"/>
      <c r="AM106" s="2"/>
      <c r="AN106" s="2"/>
      <c r="AO106" s="2">
        <v>784860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">
        <f>50180+95542+23286</f>
        <v>169008</v>
      </c>
      <c r="AZ106" s="2"/>
      <c r="BA106" s="2">
        <f>SUM(G106:AZ106)</f>
        <v>17090219</v>
      </c>
      <c r="BB106" s="2"/>
      <c r="BC106" s="2">
        <f>+'St of Act-Rev'!AG104-BA106</f>
        <v>763213</v>
      </c>
      <c r="BD106" s="2"/>
      <c r="BE106" s="2">
        <v>5041608</v>
      </c>
      <c r="BF106" s="2"/>
      <c r="BG106" s="13">
        <f>+BC106+BE106</f>
        <v>5804821</v>
      </c>
      <c r="BH106" s="13"/>
      <c r="BI106" s="13">
        <f>+'St of Net Assets'!AA102-BG106</f>
        <v>0</v>
      </c>
      <c r="BJ106" s="98"/>
      <c r="BK106" s="63" t="s">
        <v>373</v>
      </c>
    </row>
    <row r="107" spans="1:63" s="96" customFormat="1">
      <c r="A107" s="19" t="s">
        <v>221</v>
      </c>
      <c r="B107" s="19"/>
      <c r="C107" s="19" t="s">
        <v>222</v>
      </c>
      <c r="E107" s="19">
        <v>48660</v>
      </c>
      <c r="G107" s="2">
        <v>0</v>
      </c>
      <c r="H107" s="2"/>
      <c r="I107" s="2">
        <v>6555280</v>
      </c>
      <c r="J107" s="2"/>
      <c r="K107" s="2">
        <v>0</v>
      </c>
      <c r="L107" s="2"/>
      <c r="M107" s="2">
        <v>0</v>
      </c>
      <c r="N107" s="2"/>
      <c r="O107" s="2">
        <v>7569967</v>
      </c>
      <c r="P107" s="2"/>
      <c r="Q107" s="2">
        <v>10185577</v>
      </c>
      <c r="R107" s="2"/>
      <c r="S107" s="2">
        <v>60667</v>
      </c>
      <c r="T107" s="2"/>
      <c r="U107" s="2">
        <v>1823677</v>
      </c>
      <c r="V107" s="2"/>
      <c r="W107" s="2">
        <v>725353</v>
      </c>
      <c r="X107" s="2"/>
      <c r="Y107" s="2">
        <v>0</v>
      </c>
      <c r="Z107" s="2"/>
      <c r="AA107" s="2">
        <v>1482250</v>
      </c>
      <c r="AB107" s="2"/>
      <c r="AC107" s="19" t="s">
        <v>221</v>
      </c>
      <c r="AD107" s="19"/>
      <c r="AE107" s="19" t="s">
        <v>222</v>
      </c>
      <c r="AF107" s="19"/>
      <c r="AG107" s="2">
        <v>1149215</v>
      </c>
      <c r="AH107" s="2"/>
      <c r="AI107" s="2">
        <v>959418</v>
      </c>
      <c r="AJ107" s="2"/>
      <c r="AK107" s="2"/>
      <c r="AL107" s="2"/>
      <c r="AM107" s="2">
        <v>0</v>
      </c>
      <c r="AN107" s="2"/>
      <c r="AO107" s="2">
        <v>244361</v>
      </c>
      <c r="AP107" s="2"/>
      <c r="AQ107" s="2">
        <v>0</v>
      </c>
      <c r="AR107" s="2"/>
      <c r="AS107" s="2">
        <v>35638</v>
      </c>
      <c r="AT107" s="2"/>
      <c r="AU107" s="2"/>
      <c r="AV107" s="2"/>
      <c r="AW107" s="2"/>
      <c r="AX107" s="2"/>
      <c r="AY107" s="2">
        <v>0</v>
      </c>
      <c r="AZ107" s="2"/>
      <c r="BA107" s="2">
        <f t="shared" si="2"/>
        <v>30791403</v>
      </c>
      <c r="BB107" s="2"/>
      <c r="BC107" s="2">
        <f>+'St of Act-Rev'!AG105-BA107</f>
        <v>1344861</v>
      </c>
      <c r="BD107" s="2"/>
      <c r="BE107" s="2">
        <v>18791290</v>
      </c>
      <c r="BF107" s="2"/>
      <c r="BG107" s="13">
        <f t="shared" si="3"/>
        <v>20136151</v>
      </c>
      <c r="BH107" s="13"/>
      <c r="BI107" s="13">
        <f>+'St of Net Assets'!AA103-BG107</f>
        <v>0</v>
      </c>
      <c r="BJ107" s="98"/>
    </row>
    <row r="108" spans="1:63" s="96" customFormat="1">
      <c r="A108" s="19" t="s">
        <v>223</v>
      </c>
      <c r="B108" s="19"/>
      <c r="C108" s="19" t="s">
        <v>224</v>
      </c>
      <c r="E108" s="19">
        <v>125252</v>
      </c>
      <c r="G108" s="2">
        <v>3853398</v>
      </c>
      <c r="H108" s="2"/>
      <c r="I108" s="2">
        <v>0</v>
      </c>
      <c r="J108" s="2"/>
      <c r="K108" s="2">
        <v>0</v>
      </c>
      <c r="L108" s="2"/>
      <c r="M108" s="2">
        <v>0</v>
      </c>
      <c r="N108" s="2"/>
      <c r="O108" s="2">
        <v>2005631</v>
      </c>
      <c r="P108" s="2"/>
      <c r="Q108" s="2">
        <v>4934552</v>
      </c>
      <c r="R108" s="2"/>
      <c r="S108" s="2">
        <v>25115</v>
      </c>
      <c r="T108" s="2"/>
      <c r="U108" s="2">
        <v>1000880</v>
      </c>
      <c r="V108" s="2"/>
      <c r="W108" s="2">
        <v>309870</v>
      </c>
      <c r="X108" s="2"/>
      <c r="Y108" s="2">
        <v>0</v>
      </c>
      <c r="Z108" s="2"/>
      <c r="AA108" s="2">
        <v>68360</v>
      </c>
      <c r="AB108" s="2"/>
      <c r="AC108" s="19" t="s">
        <v>223</v>
      </c>
      <c r="AD108" s="19"/>
      <c r="AE108" s="19" t="s">
        <v>224</v>
      </c>
      <c r="AF108" s="19"/>
      <c r="AG108" s="2">
        <v>15143</v>
      </c>
      <c r="AH108" s="2"/>
      <c r="AI108" s="2">
        <v>274436</v>
      </c>
      <c r="AJ108" s="2"/>
      <c r="AK108" s="2"/>
      <c r="AL108" s="2"/>
      <c r="AM108" s="2">
        <v>0</v>
      </c>
      <c r="AN108" s="2"/>
      <c r="AO108" s="2">
        <v>9876</v>
      </c>
      <c r="AP108" s="2"/>
      <c r="AQ108" s="2">
        <v>12163</v>
      </c>
      <c r="AR108" s="2"/>
      <c r="AS108" s="2">
        <v>0</v>
      </c>
      <c r="AT108" s="2"/>
      <c r="AU108" s="2"/>
      <c r="AV108" s="2"/>
      <c r="AW108" s="2"/>
      <c r="AX108" s="2"/>
      <c r="AY108" s="2">
        <v>0</v>
      </c>
      <c r="AZ108" s="2"/>
      <c r="BA108" s="2">
        <f t="shared" si="2"/>
        <v>12509424</v>
      </c>
      <c r="BB108" s="2"/>
      <c r="BC108" s="2">
        <f>+'St of Act-Rev'!AG106-BA108</f>
        <v>-67243</v>
      </c>
      <c r="BD108" s="2"/>
      <c r="BE108" s="2">
        <v>2944785</v>
      </c>
      <c r="BF108" s="2"/>
      <c r="BG108" s="13">
        <f t="shared" si="3"/>
        <v>2877542</v>
      </c>
      <c r="BH108" s="13"/>
      <c r="BI108" s="13">
        <f>+'St of Net Assets'!AA104-BG108</f>
        <v>0</v>
      </c>
      <c r="BJ108" s="98"/>
      <c r="BK108" s="19" t="s">
        <v>420</v>
      </c>
    </row>
    <row r="109" spans="1:63">
      <c r="A109" s="19" t="s">
        <v>374</v>
      </c>
      <c r="B109" s="19"/>
      <c r="C109" s="19" t="s">
        <v>244</v>
      </c>
      <c r="E109" s="19">
        <v>123257</v>
      </c>
      <c r="G109" s="2">
        <v>605980</v>
      </c>
      <c r="H109" s="2"/>
      <c r="I109" s="2">
        <v>5130860</v>
      </c>
      <c r="J109" s="2"/>
      <c r="K109" s="2">
        <v>0</v>
      </c>
      <c r="L109" s="2"/>
      <c r="M109" s="2">
        <v>0</v>
      </c>
      <c r="N109" s="2"/>
      <c r="O109" s="2">
        <v>3358773</v>
      </c>
      <c r="P109" s="2"/>
      <c r="Q109" s="2">
        <v>3570424</v>
      </c>
      <c r="R109" s="2"/>
      <c r="S109" s="2">
        <v>51627</v>
      </c>
      <c r="T109" s="2"/>
      <c r="U109" s="2">
        <v>1818242</v>
      </c>
      <c r="V109" s="2"/>
      <c r="W109" s="2">
        <v>597552</v>
      </c>
      <c r="X109" s="2"/>
      <c r="Y109" s="2">
        <v>133338</v>
      </c>
      <c r="Z109" s="2"/>
      <c r="AA109" s="2">
        <v>491855</v>
      </c>
      <c r="AB109" s="2"/>
      <c r="AC109" s="19" t="s">
        <v>243</v>
      </c>
      <c r="AD109" s="19"/>
      <c r="AE109" s="19" t="s">
        <v>244</v>
      </c>
      <c r="AF109" s="19"/>
      <c r="AG109" s="2">
        <v>126899</v>
      </c>
      <c r="AH109" s="2"/>
      <c r="AI109" s="2">
        <v>548198</v>
      </c>
      <c r="AJ109" s="2"/>
      <c r="AK109" s="2">
        <v>0</v>
      </c>
      <c r="AL109" s="2"/>
      <c r="AM109" s="2">
        <v>23082</v>
      </c>
      <c r="AN109" s="2"/>
      <c r="AO109" s="2">
        <v>84591</v>
      </c>
      <c r="AP109" s="2"/>
      <c r="AQ109" s="2">
        <v>0</v>
      </c>
      <c r="AR109" s="2"/>
      <c r="AS109" s="2">
        <v>0</v>
      </c>
      <c r="AT109" s="2"/>
      <c r="AU109" s="2">
        <v>0</v>
      </c>
      <c r="AV109" s="2"/>
      <c r="AW109" s="2"/>
      <c r="AX109" s="2"/>
      <c r="AY109" s="2">
        <v>0</v>
      </c>
      <c r="AZ109" s="2"/>
      <c r="BA109" s="2">
        <f t="shared" si="2"/>
        <v>16541421</v>
      </c>
      <c r="BB109" s="2"/>
      <c r="BC109" s="2">
        <f>+'St of Act-Rev'!AG107-BA109</f>
        <v>491892</v>
      </c>
      <c r="BD109" s="2"/>
      <c r="BE109" s="2">
        <v>-91259</v>
      </c>
      <c r="BF109" s="2"/>
      <c r="BG109" s="13">
        <f t="shared" si="3"/>
        <v>400633</v>
      </c>
      <c r="BH109" s="13"/>
      <c r="BI109" s="13">
        <f>+'St of Net Assets'!AA105-BG109</f>
        <v>0</v>
      </c>
    </row>
    <row r="110" spans="1:63" hidden="1">
      <c r="A110" s="19" t="s">
        <v>413</v>
      </c>
      <c r="B110" s="19"/>
      <c r="C110" s="19" t="s">
        <v>183</v>
      </c>
      <c r="E110" s="1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19"/>
      <c r="AD110" s="19"/>
      <c r="AE110" s="19"/>
      <c r="AF110" s="19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13"/>
      <c r="BH110" s="13"/>
      <c r="BI110" s="13"/>
    </row>
    <row r="111" spans="1:63" hidden="1">
      <c r="A111" s="19" t="s">
        <v>187</v>
      </c>
      <c r="B111" s="19"/>
      <c r="C111" s="2" t="s">
        <v>275</v>
      </c>
      <c r="E111" s="19">
        <v>124297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19" t="s">
        <v>187</v>
      </c>
      <c r="AD111" s="19"/>
      <c r="AE111" s="2" t="s">
        <v>275</v>
      </c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>
        <f t="shared" si="2"/>
        <v>0</v>
      </c>
      <c r="BB111" s="2"/>
      <c r="BC111" s="2">
        <f>+'St of Act-Rev'!AG109-BA111</f>
        <v>0</v>
      </c>
      <c r="BD111" s="2"/>
      <c r="BE111" s="2"/>
      <c r="BF111" s="2"/>
      <c r="BG111" s="13">
        <f t="shared" si="3"/>
        <v>0</v>
      </c>
      <c r="BH111" s="13"/>
      <c r="BI111" s="13">
        <f>+'St of Net Assets'!AA107-BG111</f>
        <v>0</v>
      </c>
    </row>
    <row r="112" spans="1:63" hidden="1">
      <c r="A112" s="19" t="s">
        <v>353</v>
      </c>
      <c r="B112" s="19"/>
      <c r="C112" s="2" t="s">
        <v>363</v>
      </c>
      <c r="E112" s="19">
        <v>123521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19" t="s">
        <v>235</v>
      </c>
      <c r="AD112" s="19"/>
      <c r="AE112" s="19" t="s">
        <v>236</v>
      </c>
      <c r="AF112" s="19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>
        <f t="shared" si="2"/>
        <v>0</v>
      </c>
      <c r="BB112" s="2"/>
      <c r="BC112" s="2">
        <f>+'St of Act-Rev'!AG110-BA112</f>
        <v>0</v>
      </c>
      <c r="BD112" s="2"/>
      <c r="BE112" s="2"/>
      <c r="BF112" s="2"/>
      <c r="BG112" s="13">
        <f t="shared" si="3"/>
        <v>0</v>
      </c>
      <c r="BH112" s="13"/>
      <c r="BI112" s="13">
        <f>+'St of Net Assets'!AA108-BG112</f>
        <v>0</v>
      </c>
    </row>
    <row r="113" spans="1:63" s="96" customFormat="1">
      <c r="A113" s="19" t="s">
        <v>225</v>
      </c>
      <c r="B113" s="19"/>
      <c r="C113" s="19" t="s">
        <v>226</v>
      </c>
      <c r="E113" s="19">
        <v>125674</v>
      </c>
      <c r="G113" s="2">
        <v>960570</v>
      </c>
      <c r="H113" s="2"/>
      <c r="I113" s="2">
        <v>825473</v>
      </c>
      <c r="J113" s="2"/>
      <c r="K113" s="2">
        <v>0</v>
      </c>
      <c r="L113" s="2"/>
      <c r="M113" s="2">
        <f>36958+47445</f>
        <v>84403</v>
      </c>
      <c r="N113" s="2"/>
      <c r="O113" s="2">
        <v>967862</v>
      </c>
      <c r="P113" s="2"/>
      <c r="Q113" s="2">
        <v>2073043</v>
      </c>
      <c r="R113" s="2"/>
      <c r="S113" s="2">
        <v>46642</v>
      </c>
      <c r="T113" s="2"/>
      <c r="U113" s="2">
        <v>897643</v>
      </c>
      <c r="V113" s="2"/>
      <c r="W113" s="2">
        <v>221146</v>
      </c>
      <c r="X113" s="2"/>
      <c r="Y113" s="2">
        <v>0</v>
      </c>
      <c r="Z113" s="2"/>
      <c r="AA113" s="2">
        <v>223958</v>
      </c>
      <c r="AB113" s="2"/>
      <c r="AC113" s="19" t="s">
        <v>225</v>
      </c>
      <c r="AD113" s="19"/>
      <c r="AE113" s="19" t="s">
        <v>226</v>
      </c>
      <c r="AF113" s="19"/>
      <c r="AG113" s="2">
        <v>15401</v>
      </c>
      <c r="AH113" s="2"/>
      <c r="AI113" s="2">
        <v>183832</v>
      </c>
      <c r="AJ113" s="2"/>
      <c r="AK113" s="2"/>
      <c r="AL113" s="2"/>
      <c r="AM113" s="2">
        <v>0</v>
      </c>
      <c r="AN113" s="2"/>
      <c r="AO113" s="2">
        <v>22335</v>
      </c>
      <c r="AP113" s="2"/>
      <c r="AQ113" s="2">
        <v>2660</v>
      </c>
      <c r="AR113" s="2"/>
      <c r="AS113" s="2">
        <v>4797</v>
      </c>
      <c r="AT113" s="2"/>
      <c r="AU113" s="2"/>
      <c r="AV113" s="2"/>
      <c r="AW113" s="2"/>
      <c r="AX113" s="2"/>
      <c r="AY113" s="2">
        <v>0</v>
      </c>
      <c r="AZ113" s="2"/>
      <c r="BA113" s="2">
        <f t="shared" si="2"/>
        <v>6529765</v>
      </c>
      <c r="BB113" s="2"/>
      <c r="BC113" s="2">
        <f>+'St of Act-Rev'!AG111-BA113</f>
        <v>-270768</v>
      </c>
      <c r="BD113" s="2"/>
      <c r="BE113" s="2">
        <v>473926</v>
      </c>
      <c r="BF113" s="2"/>
      <c r="BG113" s="13">
        <f t="shared" si="3"/>
        <v>203158</v>
      </c>
      <c r="BH113" s="13"/>
      <c r="BI113" s="13">
        <f>+'St of Net Assets'!AA109-BG113</f>
        <v>0</v>
      </c>
      <c r="BJ113" s="98"/>
      <c r="BK113" s="13"/>
    </row>
    <row r="114" spans="1:63" s="96" customFormat="1">
      <c r="A114" s="19" t="s">
        <v>227</v>
      </c>
      <c r="B114" s="19"/>
      <c r="C114" s="19" t="s">
        <v>228</v>
      </c>
      <c r="E114" s="19">
        <v>49072</v>
      </c>
      <c r="G114" s="2">
        <v>268593</v>
      </c>
      <c r="H114" s="2"/>
      <c r="I114" s="2">
        <v>147827</v>
      </c>
      <c r="J114" s="2"/>
      <c r="K114" s="2">
        <v>47735</v>
      </c>
      <c r="L114" s="2"/>
      <c r="M114" s="2">
        <v>78512</v>
      </c>
      <c r="N114" s="2"/>
      <c r="O114" s="2">
        <v>1677713</v>
      </c>
      <c r="P114" s="2"/>
      <c r="Q114" s="2">
        <v>584462</v>
      </c>
      <c r="R114" s="2"/>
      <c r="S114" s="2">
        <v>27219</v>
      </c>
      <c r="T114" s="2"/>
      <c r="U114" s="2">
        <v>277173</v>
      </c>
      <c r="V114" s="2"/>
      <c r="W114" s="2">
        <v>129542</v>
      </c>
      <c r="X114" s="2"/>
      <c r="Y114" s="2">
        <v>38155</v>
      </c>
      <c r="Z114" s="2"/>
      <c r="AA114" s="2">
        <v>110423</v>
      </c>
      <c r="AB114" s="2"/>
      <c r="AC114" s="19" t="s">
        <v>227</v>
      </c>
      <c r="AD114" s="19"/>
      <c r="AE114" s="19" t="s">
        <v>228</v>
      </c>
      <c r="AF114" s="19"/>
      <c r="AG114" s="2">
        <v>1163</v>
      </c>
      <c r="AH114" s="2"/>
      <c r="AI114" s="2">
        <v>156859</v>
      </c>
      <c r="AJ114" s="2"/>
      <c r="AK114" s="2"/>
      <c r="AL114" s="2"/>
      <c r="AM114" s="2">
        <v>0</v>
      </c>
      <c r="AN114" s="2"/>
      <c r="AO114" s="2">
        <v>0</v>
      </c>
      <c r="AP114" s="2"/>
      <c r="AQ114" s="2">
        <v>0</v>
      </c>
      <c r="AR114" s="2"/>
      <c r="AS114" s="2">
        <v>0</v>
      </c>
      <c r="AT114" s="2"/>
      <c r="AU114" s="2"/>
      <c r="AV114" s="2"/>
      <c r="AW114" s="2"/>
      <c r="AX114" s="2"/>
      <c r="AY114" s="2">
        <v>0</v>
      </c>
      <c r="AZ114" s="2"/>
      <c r="BA114" s="2">
        <f t="shared" si="2"/>
        <v>3545376</v>
      </c>
      <c r="BB114" s="2"/>
      <c r="BC114" s="2">
        <f>+'St of Act-Rev'!AG112-BA114</f>
        <v>110419</v>
      </c>
      <c r="BD114" s="2"/>
      <c r="BE114" s="2">
        <v>988208</v>
      </c>
      <c r="BF114" s="2"/>
      <c r="BG114" s="13">
        <f t="shared" si="3"/>
        <v>1098627</v>
      </c>
      <c r="BH114" s="13"/>
      <c r="BI114" s="13">
        <f>+'St of Net Assets'!AA110-BG114</f>
        <v>0</v>
      </c>
      <c r="BJ114" s="98"/>
    </row>
    <row r="115" spans="1:63" s="96" customFormat="1">
      <c r="A115" s="19" t="s">
        <v>229</v>
      </c>
      <c r="B115" s="19"/>
      <c r="C115" s="19" t="s">
        <v>230</v>
      </c>
      <c r="E115" s="19">
        <v>49163</v>
      </c>
      <c r="G115" s="2">
        <v>109746</v>
      </c>
      <c r="H115" s="2"/>
      <c r="I115" s="2">
        <v>3922992</v>
      </c>
      <c r="J115" s="2"/>
      <c r="K115" s="2">
        <v>0</v>
      </c>
      <c r="L115" s="2"/>
      <c r="M115" s="2">
        <v>0</v>
      </c>
      <c r="N115" s="2"/>
      <c r="O115" s="2">
        <v>1120882</v>
      </c>
      <c r="P115" s="2"/>
      <c r="Q115" s="2">
        <v>2342909</v>
      </c>
      <c r="R115" s="2"/>
      <c r="S115" s="2">
        <v>80076</v>
      </c>
      <c r="T115" s="2"/>
      <c r="U115" s="2">
        <v>673177</v>
      </c>
      <c r="V115" s="2"/>
      <c r="W115" s="2">
        <v>256083</v>
      </c>
      <c r="X115" s="2"/>
      <c r="Y115" s="2">
        <v>86682</v>
      </c>
      <c r="Z115" s="2"/>
      <c r="AA115" s="2">
        <v>73829</v>
      </c>
      <c r="AB115" s="2"/>
      <c r="AC115" s="19" t="s">
        <v>229</v>
      </c>
      <c r="AD115" s="19"/>
      <c r="AE115" s="19" t="s">
        <v>230</v>
      </c>
      <c r="AF115" s="19"/>
      <c r="AG115" s="2">
        <v>11848</v>
      </c>
      <c r="AH115" s="2"/>
      <c r="AI115" s="2">
        <v>205</v>
      </c>
      <c r="AJ115" s="2"/>
      <c r="AK115" s="2"/>
      <c r="AL115" s="2"/>
      <c r="AM115" s="2">
        <v>93752</v>
      </c>
      <c r="AN115" s="2"/>
      <c r="AO115" s="2">
        <v>0</v>
      </c>
      <c r="AP115" s="2"/>
      <c r="AQ115" s="2">
        <v>9373</v>
      </c>
      <c r="AR115" s="2"/>
      <c r="AS115" s="2">
        <v>1250</v>
      </c>
      <c r="AT115" s="2"/>
      <c r="AU115" s="2"/>
      <c r="AV115" s="2"/>
      <c r="AW115" s="2"/>
      <c r="AX115" s="2"/>
      <c r="AY115" s="2">
        <v>0</v>
      </c>
      <c r="AZ115" s="2"/>
      <c r="BA115" s="2">
        <f t="shared" si="2"/>
        <v>8782804</v>
      </c>
      <c r="BB115" s="2"/>
      <c r="BC115" s="2">
        <f>+'St of Act-Rev'!AG113-BA115</f>
        <v>55245</v>
      </c>
      <c r="BD115" s="2"/>
      <c r="BE115" s="2">
        <v>790314</v>
      </c>
      <c r="BF115" s="2"/>
      <c r="BG115" s="13">
        <f t="shared" si="3"/>
        <v>845559</v>
      </c>
      <c r="BH115" s="13"/>
      <c r="BI115" s="13">
        <f>+'St of Net Assets'!AA111-BG115</f>
        <v>0</v>
      </c>
      <c r="BJ115" s="98"/>
    </row>
    <row r="116" spans="1:63" s="96" customFormat="1" hidden="1">
      <c r="A116" s="19" t="s">
        <v>421</v>
      </c>
      <c r="B116" s="19"/>
      <c r="C116" s="19" t="s">
        <v>232</v>
      </c>
      <c r="E116" s="19">
        <v>49254</v>
      </c>
      <c r="G116" s="2">
        <v>468621</v>
      </c>
      <c r="H116" s="2"/>
      <c r="I116" s="2">
        <v>1107161</v>
      </c>
      <c r="J116" s="2"/>
      <c r="K116" s="2"/>
      <c r="L116" s="2"/>
      <c r="M116" s="2"/>
      <c r="N116" s="2"/>
      <c r="O116" s="2">
        <v>1085478</v>
      </c>
      <c r="P116" s="2"/>
      <c r="Q116" s="2">
        <v>1123211</v>
      </c>
      <c r="R116" s="2"/>
      <c r="S116" s="2">
        <v>25246</v>
      </c>
      <c r="T116" s="2"/>
      <c r="U116" s="2">
        <v>419826</v>
      </c>
      <c r="V116" s="2"/>
      <c r="W116" s="2">
        <v>193196</v>
      </c>
      <c r="X116" s="2"/>
      <c r="Y116" s="2">
        <v>7005</v>
      </c>
      <c r="Z116" s="2"/>
      <c r="AA116" s="2">
        <v>109121</v>
      </c>
      <c r="AB116" s="2"/>
      <c r="AC116" s="19" t="s">
        <v>231</v>
      </c>
      <c r="AD116" s="19"/>
      <c r="AE116" s="19" t="s">
        <v>232</v>
      </c>
      <c r="AF116" s="19"/>
      <c r="AG116" s="2">
        <v>643455</v>
      </c>
      <c r="AH116" s="2"/>
      <c r="AI116" s="2">
        <v>22239</v>
      </c>
      <c r="AJ116" s="2"/>
      <c r="AK116" s="2"/>
      <c r="AL116" s="2"/>
      <c r="AM116" s="2"/>
      <c r="AN116" s="2"/>
      <c r="AO116" s="2">
        <v>7550</v>
      </c>
      <c r="AP116" s="2"/>
      <c r="AQ116" s="2">
        <v>2928</v>
      </c>
      <c r="AR116" s="2"/>
      <c r="AS116" s="2">
        <v>68284</v>
      </c>
      <c r="AT116" s="2"/>
      <c r="AU116" s="2"/>
      <c r="AV116" s="2"/>
      <c r="AW116" s="2"/>
      <c r="AX116" s="2"/>
      <c r="AY116" s="2"/>
      <c r="AZ116" s="2"/>
      <c r="BA116" s="2">
        <f t="shared" si="2"/>
        <v>5283321</v>
      </c>
      <c r="BB116" s="2"/>
      <c r="BC116" s="2">
        <f>+'St of Act-Rev'!AG114-BA116</f>
        <v>-147562</v>
      </c>
      <c r="BD116" s="2"/>
      <c r="BE116" s="2">
        <v>686442</v>
      </c>
      <c r="BF116" s="2"/>
      <c r="BG116" s="13">
        <f t="shared" si="3"/>
        <v>538880</v>
      </c>
      <c r="BH116" s="13"/>
      <c r="BI116" s="13">
        <f>+'St of Net Assets'!AA112-BG116</f>
        <v>0</v>
      </c>
      <c r="BJ116" s="98"/>
      <c r="BK116" s="96" t="s">
        <v>373</v>
      </c>
    </row>
    <row r="117" spans="1:63" s="96" customFormat="1">
      <c r="A117" s="19" t="s">
        <v>233</v>
      </c>
      <c r="B117" s="19"/>
      <c r="C117" s="19" t="s">
        <v>234</v>
      </c>
      <c r="E117" s="19">
        <v>49304</v>
      </c>
      <c r="G117" s="2">
        <v>388880</v>
      </c>
      <c r="H117" s="2"/>
      <c r="I117" s="2">
        <v>1821008</v>
      </c>
      <c r="J117" s="2"/>
      <c r="K117" s="2">
        <v>28698</v>
      </c>
      <c r="L117" s="2"/>
      <c r="M117" s="2">
        <v>608</v>
      </c>
      <c r="N117" s="2"/>
      <c r="O117" s="2">
        <v>1169898</v>
      </c>
      <c r="P117" s="2"/>
      <c r="Q117" s="2">
        <v>2103732</v>
      </c>
      <c r="R117" s="2"/>
      <c r="S117" s="2">
        <v>27149</v>
      </c>
      <c r="T117" s="2"/>
      <c r="U117" s="2">
        <v>304479</v>
      </c>
      <c r="V117" s="2"/>
      <c r="W117" s="2">
        <v>258599</v>
      </c>
      <c r="X117" s="2"/>
      <c r="Y117" s="2">
        <v>4385</v>
      </c>
      <c r="Z117" s="2"/>
      <c r="AA117" s="2">
        <v>209893</v>
      </c>
      <c r="AB117" s="2"/>
      <c r="AC117" s="19" t="s">
        <v>233</v>
      </c>
      <c r="AD117" s="19"/>
      <c r="AE117" s="19" t="s">
        <v>234</v>
      </c>
      <c r="AF117" s="19"/>
      <c r="AG117" s="2">
        <v>67152</v>
      </c>
      <c r="AH117" s="2"/>
      <c r="AI117" s="2">
        <v>47765</v>
      </c>
      <c r="AJ117" s="2"/>
      <c r="AK117" s="2"/>
      <c r="AL117" s="2"/>
      <c r="AM117" s="2">
        <v>0</v>
      </c>
      <c r="AN117" s="2"/>
      <c r="AO117" s="2">
        <v>49574</v>
      </c>
      <c r="AP117" s="2"/>
      <c r="AQ117" s="2">
        <v>0</v>
      </c>
      <c r="AR117" s="2"/>
      <c r="AS117" s="2">
        <v>32008</v>
      </c>
      <c r="AT117" s="2"/>
      <c r="AU117" s="2"/>
      <c r="AV117" s="2"/>
      <c r="AW117" s="2"/>
      <c r="AX117" s="2"/>
      <c r="AY117" s="2">
        <v>0</v>
      </c>
      <c r="AZ117" s="2"/>
      <c r="BA117" s="2">
        <f t="shared" si="2"/>
        <v>6513828</v>
      </c>
      <c r="BB117" s="2"/>
      <c r="BC117" s="2">
        <f>+'St of Act-Rev'!AG115-BA117</f>
        <v>669296</v>
      </c>
      <c r="BD117" s="2"/>
      <c r="BE117" s="2">
        <v>4069841</v>
      </c>
      <c r="BF117" s="2"/>
      <c r="BG117" s="13">
        <f t="shared" si="3"/>
        <v>4739137</v>
      </c>
      <c r="BH117" s="13"/>
      <c r="BI117" s="13">
        <f>+'St of Net Assets'!AA113-BG117</f>
        <v>0</v>
      </c>
      <c r="BJ117" s="98"/>
    </row>
    <row r="118" spans="1:63">
      <c r="A118" s="19" t="s">
        <v>237</v>
      </c>
      <c r="B118" s="19"/>
      <c r="C118" s="19" t="s">
        <v>238</v>
      </c>
      <c r="E118" s="19">
        <v>138222</v>
      </c>
      <c r="G118" s="2">
        <v>8092</v>
      </c>
      <c r="H118" s="2"/>
      <c r="I118" s="2">
        <v>3247764</v>
      </c>
      <c r="J118" s="2"/>
      <c r="K118" s="2">
        <v>0</v>
      </c>
      <c r="L118" s="2"/>
      <c r="M118" s="2">
        <v>8409</v>
      </c>
      <c r="N118" s="2"/>
      <c r="O118" s="2">
        <v>1637476</v>
      </c>
      <c r="P118" s="2"/>
      <c r="Q118" s="2">
        <v>3403165</v>
      </c>
      <c r="R118" s="2"/>
      <c r="S118" s="2">
        <v>68455</v>
      </c>
      <c r="T118" s="2"/>
      <c r="U118" s="2">
        <v>881521</v>
      </c>
      <c r="V118" s="2"/>
      <c r="W118" s="2">
        <v>385477</v>
      </c>
      <c r="X118" s="2"/>
      <c r="Y118" s="2">
        <v>0</v>
      </c>
      <c r="Z118" s="2"/>
      <c r="AA118" s="2">
        <v>164030</v>
      </c>
      <c r="AB118" s="2"/>
      <c r="AC118" s="19" t="s">
        <v>237</v>
      </c>
      <c r="AD118" s="19"/>
      <c r="AE118" s="19" t="s">
        <v>238</v>
      </c>
      <c r="AF118" s="19"/>
      <c r="AG118" s="2">
        <v>0</v>
      </c>
      <c r="AH118" s="2"/>
      <c r="AI118" s="2">
        <v>92507</v>
      </c>
      <c r="AJ118" s="2"/>
      <c r="AK118" s="2"/>
      <c r="AL118" s="2"/>
      <c r="AM118" s="2">
        <v>0</v>
      </c>
      <c r="AN118" s="2"/>
      <c r="AO118" s="2">
        <v>138459</v>
      </c>
      <c r="AP118" s="2"/>
      <c r="AQ118" s="2">
        <v>3245</v>
      </c>
      <c r="AR118" s="2"/>
      <c r="AS118" s="2">
        <v>0</v>
      </c>
      <c r="AT118" s="2"/>
      <c r="AU118" s="2"/>
      <c r="AV118" s="2"/>
      <c r="AW118" s="2"/>
      <c r="AX118" s="2"/>
      <c r="AY118" s="2">
        <v>0</v>
      </c>
      <c r="AZ118" s="2"/>
      <c r="BA118" s="2">
        <f t="shared" si="2"/>
        <v>10038600</v>
      </c>
      <c r="BB118" s="2"/>
      <c r="BC118" s="2">
        <f>+'St of Act-Rev'!AG116-BA118</f>
        <v>-4924</v>
      </c>
      <c r="BD118" s="2"/>
      <c r="BE118" s="2">
        <v>3377606</v>
      </c>
      <c r="BF118" s="2"/>
      <c r="BG118" s="13">
        <f t="shared" si="3"/>
        <v>3372682</v>
      </c>
      <c r="BH118" s="13"/>
      <c r="BI118" s="13">
        <f>+'St of Net Assets'!AA114-BG118</f>
        <v>0</v>
      </c>
    </row>
    <row r="119" spans="1:63" hidden="1">
      <c r="A119" s="71" t="s">
        <v>239</v>
      </c>
      <c r="B119" s="19"/>
      <c r="C119" s="19" t="s">
        <v>240</v>
      </c>
      <c r="E119" s="19">
        <v>49551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9" t="s">
        <v>239</v>
      </c>
      <c r="AD119" s="19"/>
      <c r="AE119" s="19" t="s">
        <v>240</v>
      </c>
      <c r="AF119" s="19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>
        <f t="shared" si="2"/>
        <v>0</v>
      </c>
      <c r="BB119" s="2"/>
      <c r="BC119" s="2">
        <f>+'St of Act-Rev'!AG117-BA119</f>
        <v>0</v>
      </c>
      <c r="BD119" s="2"/>
      <c r="BE119" s="2"/>
      <c r="BF119" s="2"/>
      <c r="BG119" s="13">
        <f t="shared" si="3"/>
        <v>0</v>
      </c>
      <c r="BH119" s="13"/>
      <c r="BI119" s="13">
        <f>+'St of Net Assets'!AA115-BG119</f>
        <v>0</v>
      </c>
      <c r="BK119" s="17" t="s">
        <v>425</v>
      </c>
    </row>
    <row r="120" spans="1:63" s="96" customFormat="1">
      <c r="A120" s="19" t="s">
        <v>245</v>
      </c>
      <c r="B120" s="19"/>
      <c r="C120" s="19" t="s">
        <v>246</v>
      </c>
      <c r="E120" s="19">
        <v>49742</v>
      </c>
      <c r="G120" s="2">
        <v>576225</v>
      </c>
      <c r="H120" s="2"/>
      <c r="I120" s="2">
        <v>1351524</v>
      </c>
      <c r="J120" s="2"/>
      <c r="K120" s="2">
        <v>0</v>
      </c>
      <c r="L120" s="2"/>
      <c r="M120" s="2">
        <v>0</v>
      </c>
      <c r="N120" s="2"/>
      <c r="O120" s="2">
        <v>1233964</v>
      </c>
      <c r="P120" s="2"/>
      <c r="Q120" s="2">
        <v>1000929</v>
      </c>
      <c r="R120" s="2"/>
      <c r="S120" s="2">
        <v>24556</v>
      </c>
      <c r="T120" s="2"/>
      <c r="U120" s="2">
        <v>415061</v>
      </c>
      <c r="V120" s="2"/>
      <c r="W120" s="2">
        <v>165174</v>
      </c>
      <c r="X120" s="2"/>
      <c r="Y120" s="2">
        <v>11025</v>
      </c>
      <c r="Z120" s="2"/>
      <c r="AA120" s="2">
        <v>6428</v>
      </c>
      <c r="AB120" s="2"/>
      <c r="AC120" s="19" t="s">
        <v>245</v>
      </c>
      <c r="AD120" s="19"/>
      <c r="AE120" s="19" t="s">
        <v>246</v>
      </c>
      <c r="AF120" s="19"/>
      <c r="AG120" s="2">
        <v>6561</v>
      </c>
      <c r="AH120" s="2"/>
      <c r="AI120" s="2">
        <v>184364</v>
      </c>
      <c r="AJ120" s="2"/>
      <c r="AK120" s="2"/>
      <c r="AL120" s="2"/>
      <c r="AM120" s="2">
        <v>0</v>
      </c>
      <c r="AN120" s="2"/>
      <c r="AO120" s="2">
        <v>0</v>
      </c>
      <c r="AP120" s="2"/>
      <c r="AQ120" s="2">
        <v>0</v>
      </c>
      <c r="AR120" s="2"/>
      <c r="AS120" s="2">
        <v>2635</v>
      </c>
      <c r="AT120" s="2"/>
      <c r="AU120" s="2"/>
      <c r="AV120" s="2"/>
      <c r="AW120" s="2"/>
      <c r="AX120" s="2"/>
      <c r="AY120" s="2">
        <v>0</v>
      </c>
      <c r="AZ120" s="2"/>
      <c r="BA120" s="2">
        <f t="shared" si="2"/>
        <v>4978446</v>
      </c>
      <c r="BB120" s="2"/>
      <c r="BC120" s="2">
        <f>+'St of Act-Rev'!AG118-BA120</f>
        <v>-124997</v>
      </c>
      <c r="BD120" s="2"/>
      <c r="BE120" s="2">
        <v>753232</v>
      </c>
      <c r="BF120" s="2"/>
      <c r="BG120" s="13">
        <f t="shared" si="3"/>
        <v>628235</v>
      </c>
      <c r="BH120" s="13"/>
      <c r="BI120" s="13">
        <f>+'St of Net Assets'!AA116-BG120</f>
        <v>0</v>
      </c>
      <c r="BJ120" s="98"/>
    </row>
    <row r="121" spans="1:63" s="96" customFormat="1">
      <c r="A121" s="19" t="s">
        <v>371</v>
      </c>
      <c r="B121" s="19"/>
      <c r="C121" s="19" t="s">
        <v>242</v>
      </c>
      <c r="E121" s="19">
        <v>125658</v>
      </c>
      <c r="G121" s="2">
        <v>693042</v>
      </c>
      <c r="H121" s="2"/>
      <c r="I121" s="2">
        <v>3595410</v>
      </c>
      <c r="J121" s="2"/>
      <c r="K121" s="2">
        <v>0</v>
      </c>
      <c r="L121" s="2"/>
      <c r="M121" s="2">
        <v>53878</v>
      </c>
      <c r="N121" s="2"/>
      <c r="O121" s="2">
        <v>1739561</v>
      </c>
      <c r="P121" s="2"/>
      <c r="Q121" s="2">
        <v>1178944</v>
      </c>
      <c r="R121" s="2"/>
      <c r="S121" s="2">
        <v>33886</v>
      </c>
      <c r="T121" s="2"/>
      <c r="U121" s="2">
        <v>767353</v>
      </c>
      <c r="V121" s="2"/>
      <c r="W121" s="2">
        <v>248209</v>
      </c>
      <c r="X121" s="2"/>
      <c r="Y121" s="2">
        <v>0</v>
      </c>
      <c r="Z121" s="2"/>
      <c r="AA121" s="2">
        <v>132449</v>
      </c>
      <c r="AB121" s="2"/>
      <c r="AC121" s="19" t="s">
        <v>241</v>
      </c>
      <c r="AD121" s="19"/>
      <c r="AE121" s="19" t="s">
        <v>242</v>
      </c>
      <c r="AF121" s="19"/>
      <c r="AG121" s="2">
        <v>21698</v>
      </c>
      <c r="AH121" s="2"/>
      <c r="AI121" s="2">
        <v>172207</v>
      </c>
      <c r="AJ121" s="2"/>
      <c r="AK121" s="2"/>
      <c r="AL121" s="2"/>
      <c r="AM121" s="2">
        <v>0</v>
      </c>
      <c r="AN121" s="2"/>
      <c r="AO121" s="2">
        <v>0</v>
      </c>
      <c r="AP121" s="2"/>
      <c r="AQ121" s="2">
        <v>0</v>
      </c>
      <c r="AR121" s="2"/>
      <c r="AS121" s="2">
        <v>8335</v>
      </c>
      <c r="AT121" s="2"/>
      <c r="AU121" s="2"/>
      <c r="AV121" s="2"/>
      <c r="AW121" s="2"/>
      <c r="AX121" s="2"/>
      <c r="AY121" s="2">
        <v>0</v>
      </c>
      <c r="AZ121" s="2"/>
      <c r="BA121" s="2">
        <f t="shared" si="2"/>
        <v>8644972</v>
      </c>
      <c r="BB121" s="2"/>
      <c r="BC121" s="2">
        <f>+'St of Act-Rev'!AG119-BA121</f>
        <v>416933</v>
      </c>
      <c r="BD121" s="2"/>
      <c r="BE121" s="2">
        <v>257958</v>
      </c>
      <c r="BF121" s="2"/>
      <c r="BG121" s="13">
        <f t="shared" si="3"/>
        <v>674891</v>
      </c>
      <c r="BH121" s="13"/>
      <c r="BI121" s="13">
        <f>+'St of Net Assets'!AA117-BG121</f>
        <v>0</v>
      </c>
      <c r="BJ121" s="98"/>
    </row>
    <row r="122" spans="1:63" s="96" customFormat="1">
      <c r="A122" s="2" t="s">
        <v>370</v>
      </c>
      <c r="B122" s="2"/>
      <c r="C122" s="2" t="s">
        <v>173</v>
      </c>
      <c r="E122" s="19"/>
      <c r="G122" s="2">
        <v>613665</v>
      </c>
      <c r="H122" s="2"/>
      <c r="I122" s="2">
        <v>639813</v>
      </c>
      <c r="J122" s="2"/>
      <c r="K122" s="2">
        <v>0</v>
      </c>
      <c r="L122" s="2"/>
      <c r="M122" s="2">
        <v>0</v>
      </c>
      <c r="N122" s="2"/>
      <c r="O122" s="2">
        <v>401783</v>
      </c>
      <c r="P122" s="2"/>
      <c r="Q122" s="2">
        <v>1233133</v>
      </c>
      <c r="R122" s="2"/>
      <c r="S122" s="2">
        <v>27457</v>
      </c>
      <c r="T122" s="2"/>
      <c r="U122" s="2">
        <v>592204</v>
      </c>
      <c r="V122" s="2"/>
      <c r="W122" s="2">
        <v>259783</v>
      </c>
      <c r="X122" s="2"/>
      <c r="Y122" s="2">
        <v>0</v>
      </c>
      <c r="Z122" s="2"/>
      <c r="AA122" s="2">
        <v>57861</v>
      </c>
      <c r="AB122" s="2"/>
      <c r="AC122" s="2" t="s">
        <v>370</v>
      </c>
      <c r="AD122" s="2"/>
      <c r="AE122" s="2" t="s">
        <v>173</v>
      </c>
      <c r="AF122" s="2"/>
      <c r="AG122" s="2">
        <v>0</v>
      </c>
      <c r="AH122" s="2"/>
      <c r="AI122" s="2">
        <v>391972</v>
      </c>
      <c r="AJ122" s="2"/>
      <c r="AK122" s="2"/>
      <c r="AL122" s="2"/>
      <c r="AM122" s="2">
        <v>0</v>
      </c>
      <c r="AN122" s="2"/>
      <c r="AO122" s="2">
        <v>0</v>
      </c>
      <c r="AP122" s="2"/>
      <c r="AQ122" s="2">
        <v>0</v>
      </c>
      <c r="AR122" s="2"/>
      <c r="AS122" s="2">
        <v>0</v>
      </c>
      <c r="AT122" s="2"/>
      <c r="AU122" s="2"/>
      <c r="AV122" s="2"/>
      <c r="AW122" s="2"/>
      <c r="AX122" s="2"/>
      <c r="AY122" s="2">
        <v>0</v>
      </c>
      <c r="AZ122" s="2"/>
      <c r="BA122" s="2">
        <f>SUM(G122:AZ122)</f>
        <v>4217671</v>
      </c>
      <c r="BB122" s="2"/>
      <c r="BC122" s="2">
        <f>+'St of Act-Rev'!AG120-BA122</f>
        <v>-4956</v>
      </c>
      <c r="BD122" s="2"/>
      <c r="BE122" s="2">
        <v>2968299</v>
      </c>
      <c r="BF122" s="2"/>
      <c r="BG122" s="13">
        <f>+BC122+BE122</f>
        <v>2963343</v>
      </c>
      <c r="BH122" s="13"/>
      <c r="BI122" s="13">
        <f>+'St of Net Assets'!AA118-BG122</f>
        <v>0</v>
      </c>
      <c r="BJ122" s="98"/>
      <c r="BK122" s="80" t="s">
        <v>411</v>
      </c>
    </row>
    <row r="123" spans="1:63" s="96" customFormat="1">
      <c r="A123" s="19" t="s">
        <v>435</v>
      </c>
      <c r="B123" s="19"/>
      <c r="C123" s="19" t="s">
        <v>248</v>
      </c>
      <c r="E123" s="19">
        <v>49825</v>
      </c>
      <c r="G123" s="2">
        <v>434343</v>
      </c>
      <c r="H123" s="2"/>
      <c r="I123" s="2">
        <v>6203251</v>
      </c>
      <c r="J123" s="2"/>
      <c r="K123" s="2">
        <v>0</v>
      </c>
      <c r="L123" s="2"/>
      <c r="M123" s="2">
        <v>15731</v>
      </c>
      <c r="N123" s="2"/>
      <c r="O123" s="2">
        <v>1171191</v>
      </c>
      <c r="P123" s="2"/>
      <c r="Q123" s="2">
        <v>7182602</v>
      </c>
      <c r="R123" s="2"/>
      <c r="S123" s="2">
        <v>15137</v>
      </c>
      <c r="T123" s="2"/>
      <c r="U123" s="2">
        <v>2735144</v>
      </c>
      <c r="V123" s="2"/>
      <c r="W123" s="2">
        <v>556873</v>
      </c>
      <c r="X123" s="2"/>
      <c r="Y123" s="2">
        <v>1086185</v>
      </c>
      <c r="Z123" s="2"/>
      <c r="AA123" s="2">
        <v>253720</v>
      </c>
      <c r="AB123" s="2"/>
      <c r="AC123" s="19" t="s">
        <v>247</v>
      </c>
      <c r="AD123" s="19"/>
      <c r="AE123" s="19" t="s">
        <v>248</v>
      </c>
      <c r="AF123" s="19"/>
      <c r="AG123" s="2">
        <v>12467</v>
      </c>
      <c r="AH123" s="2"/>
      <c r="AI123" s="2">
        <v>50616</v>
      </c>
      <c r="AJ123" s="2"/>
      <c r="AK123" s="2"/>
      <c r="AL123" s="2"/>
      <c r="AM123" s="2">
        <v>39166</v>
      </c>
      <c r="AN123" s="2"/>
      <c r="AO123" s="2">
        <v>0</v>
      </c>
      <c r="AP123" s="2"/>
      <c r="AQ123" s="2">
        <v>22099</v>
      </c>
      <c r="AR123" s="2"/>
      <c r="AS123" s="2">
        <v>0</v>
      </c>
      <c r="AT123" s="2"/>
      <c r="AU123" s="2"/>
      <c r="AV123" s="2"/>
      <c r="AW123" s="2"/>
      <c r="AX123" s="2"/>
      <c r="AY123" s="2">
        <v>0</v>
      </c>
      <c r="AZ123" s="2"/>
      <c r="BA123" s="2">
        <f t="shared" si="2"/>
        <v>19778525</v>
      </c>
      <c r="BB123" s="2"/>
      <c r="BC123" s="2">
        <f>+'St of Act-Rev'!AG121-BA123</f>
        <v>-991798</v>
      </c>
      <c r="BD123" s="2"/>
      <c r="BE123" s="2">
        <v>3345820</v>
      </c>
      <c r="BF123" s="2"/>
      <c r="BG123" s="13">
        <f t="shared" si="3"/>
        <v>2354022</v>
      </c>
      <c r="BH123" s="13"/>
      <c r="BI123" s="13">
        <f>+'St of Net Assets'!AA119-BG123</f>
        <v>0</v>
      </c>
      <c r="BJ123" s="98"/>
      <c r="BK123" s="100" t="s">
        <v>424</v>
      </c>
    </row>
    <row r="124" spans="1:63" s="96" customFormat="1">
      <c r="A124" s="19" t="s">
        <v>249</v>
      </c>
      <c r="B124" s="19"/>
      <c r="C124" s="19" t="s">
        <v>250</v>
      </c>
      <c r="E124" s="19">
        <v>49965</v>
      </c>
      <c r="G124" s="2">
        <v>605811</v>
      </c>
      <c r="H124" s="2"/>
      <c r="I124" s="2">
        <v>3373034</v>
      </c>
      <c r="J124" s="2"/>
      <c r="K124" s="2">
        <v>65783</v>
      </c>
      <c r="L124" s="2"/>
      <c r="M124" s="2">
        <v>1550</v>
      </c>
      <c r="N124" s="2"/>
      <c r="O124" s="2">
        <v>2883336</v>
      </c>
      <c r="P124" s="2"/>
      <c r="Q124" s="2">
        <v>4670744</v>
      </c>
      <c r="R124" s="2"/>
      <c r="S124" s="2">
        <v>60635</v>
      </c>
      <c r="T124" s="2"/>
      <c r="U124" s="2">
        <v>1226557</v>
      </c>
      <c r="V124" s="2"/>
      <c r="W124" s="2">
        <v>332287</v>
      </c>
      <c r="X124" s="2"/>
      <c r="Y124" s="2">
        <v>42141</v>
      </c>
      <c r="Z124" s="2"/>
      <c r="AA124" s="2">
        <v>427400</v>
      </c>
      <c r="AB124" s="2"/>
      <c r="AC124" s="19" t="s">
        <v>249</v>
      </c>
      <c r="AD124" s="19"/>
      <c r="AE124" s="19" t="s">
        <v>250</v>
      </c>
      <c r="AF124" s="19"/>
      <c r="AG124" s="2">
        <v>0</v>
      </c>
      <c r="AH124" s="2"/>
      <c r="AI124" s="2">
        <v>253570</v>
      </c>
      <c r="AJ124" s="2"/>
      <c r="AK124" s="2"/>
      <c r="AL124" s="2"/>
      <c r="AM124" s="2">
        <v>0</v>
      </c>
      <c r="AN124" s="2"/>
      <c r="AO124" s="2">
        <v>0</v>
      </c>
      <c r="AP124" s="2"/>
      <c r="AQ124" s="2">
        <v>43959</v>
      </c>
      <c r="AR124" s="2"/>
      <c r="AS124" s="2">
        <v>49229</v>
      </c>
      <c r="AT124" s="2"/>
      <c r="AU124" s="2"/>
      <c r="AV124" s="2"/>
      <c r="AW124" s="2"/>
      <c r="AX124" s="2"/>
      <c r="AY124" s="2">
        <v>0</v>
      </c>
      <c r="AZ124" s="2"/>
      <c r="BA124" s="2">
        <f t="shared" si="2"/>
        <v>14036036</v>
      </c>
      <c r="BB124" s="2"/>
      <c r="BC124" s="2">
        <f>+'St of Act-Rev'!AG122-BA124</f>
        <v>199675</v>
      </c>
      <c r="BD124" s="2"/>
      <c r="BE124" s="2">
        <v>7694722</v>
      </c>
      <c r="BF124" s="2"/>
      <c r="BG124" s="13">
        <f t="shared" si="3"/>
        <v>7894397</v>
      </c>
      <c r="BH124" s="13"/>
      <c r="BI124" s="13">
        <f>+'St of Net Assets'!AA120-BG124</f>
        <v>0</v>
      </c>
      <c r="BJ124" s="98"/>
    </row>
    <row r="125" spans="1:63" s="96" customFormat="1">
      <c r="A125" s="19" t="s">
        <v>261</v>
      </c>
      <c r="B125" s="19"/>
      <c r="C125" s="19" t="s">
        <v>262</v>
      </c>
      <c r="E125" s="19">
        <v>50526</v>
      </c>
      <c r="G125" s="2">
        <v>1107607</v>
      </c>
      <c r="H125" s="2"/>
      <c r="I125" s="2">
        <v>1404643</v>
      </c>
      <c r="J125" s="2"/>
      <c r="K125" s="2">
        <v>62701</v>
      </c>
      <c r="L125" s="2"/>
      <c r="M125" s="2">
        <v>0</v>
      </c>
      <c r="N125" s="2"/>
      <c r="O125" s="2">
        <v>2735480</v>
      </c>
      <c r="P125" s="2"/>
      <c r="Q125" s="2">
        <v>2767649</v>
      </c>
      <c r="R125" s="2"/>
      <c r="S125" s="2">
        <v>43337</v>
      </c>
      <c r="T125" s="2"/>
      <c r="U125" s="2">
        <v>451165</v>
      </c>
      <c r="V125" s="2"/>
      <c r="W125" s="2">
        <v>317914</v>
      </c>
      <c r="X125" s="2"/>
      <c r="Y125" s="2">
        <v>157721</v>
      </c>
      <c r="Z125" s="2"/>
      <c r="AA125" s="2">
        <v>192545</v>
      </c>
      <c r="AB125" s="2"/>
      <c r="AC125" s="19" t="s">
        <v>261</v>
      </c>
      <c r="AD125" s="19"/>
      <c r="AE125" s="19" t="s">
        <v>262</v>
      </c>
      <c r="AF125" s="19"/>
      <c r="AG125" s="2">
        <v>2117</v>
      </c>
      <c r="AH125" s="2"/>
      <c r="AI125" s="2">
        <v>1313607</v>
      </c>
      <c r="AJ125" s="2"/>
      <c r="AK125" s="2"/>
      <c r="AL125" s="2"/>
      <c r="AM125" s="2">
        <v>0</v>
      </c>
      <c r="AN125" s="2"/>
      <c r="AO125" s="2">
        <v>3539505</v>
      </c>
      <c r="AP125" s="2"/>
      <c r="AQ125" s="2">
        <v>0</v>
      </c>
      <c r="AR125" s="2"/>
      <c r="AS125" s="2">
        <v>0</v>
      </c>
      <c r="AT125" s="2"/>
      <c r="AU125" s="2"/>
      <c r="AV125" s="2"/>
      <c r="AW125" s="2"/>
      <c r="AX125" s="2"/>
      <c r="AY125" s="2">
        <v>0</v>
      </c>
      <c r="AZ125" s="2"/>
      <c r="BA125" s="2">
        <f t="shared" si="2"/>
        <v>14095991</v>
      </c>
      <c r="BB125" s="2"/>
      <c r="BC125" s="2">
        <f>+'St of Act-Rev'!AG123-BA125</f>
        <v>341957</v>
      </c>
      <c r="BD125" s="2"/>
      <c r="BE125" s="2">
        <v>3052556</v>
      </c>
      <c r="BF125" s="2"/>
      <c r="BG125" s="13">
        <f t="shared" si="3"/>
        <v>3394513</v>
      </c>
      <c r="BH125" s="13"/>
      <c r="BI125" s="13">
        <f>+'St of Net Assets'!AA121-BG125</f>
        <v>0</v>
      </c>
      <c r="BJ125" s="98"/>
    </row>
    <row r="126" spans="1:63" s="96" customFormat="1">
      <c r="A126" s="19" t="s">
        <v>251</v>
      </c>
      <c r="B126" s="19"/>
      <c r="C126" s="19" t="s">
        <v>252</v>
      </c>
      <c r="E126" s="19">
        <v>50088</v>
      </c>
      <c r="G126" s="2">
        <v>673176</v>
      </c>
      <c r="H126" s="2"/>
      <c r="I126" s="2">
        <v>5944567</v>
      </c>
      <c r="J126" s="2"/>
      <c r="K126" s="2">
        <v>0</v>
      </c>
      <c r="L126" s="2"/>
      <c r="M126" s="2">
        <v>0</v>
      </c>
      <c r="N126" s="2"/>
      <c r="O126" s="2">
        <v>4041433</v>
      </c>
      <c r="P126" s="2"/>
      <c r="Q126" s="2">
        <v>1993034</v>
      </c>
      <c r="R126" s="2"/>
      <c r="S126" s="2">
        <v>101643</v>
      </c>
      <c r="T126" s="2"/>
      <c r="U126" s="2">
        <v>2775970</v>
      </c>
      <c r="V126" s="2"/>
      <c r="W126" s="2">
        <v>312658</v>
      </c>
      <c r="X126" s="2"/>
      <c r="Y126" s="2">
        <v>25376</v>
      </c>
      <c r="Z126" s="2"/>
      <c r="AA126" s="2">
        <v>205978</v>
      </c>
      <c r="AB126" s="2"/>
      <c r="AC126" s="19" t="s">
        <v>251</v>
      </c>
      <c r="AD126" s="19"/>
      <c r="AE126" s="19" t="s">
        <v>252</v>
      </c>
      <c r="AF126" s="19"/>
      <c r="AG126" s="2">
        <v>28999</v>
      </c>
      <c r="AH126" s="2"/>
      <c r="AI126" s="2">
        <v>3000</v>
      </c>
      <c r="AJ126" s="2"/>
      <c r="AK126" s="2"/>
      <c r="AL126" s="2"/>
      <c r="AM126" s="2">
        <v>0</v>
      </c>
      <c r="AN126" s="2"/>
      <c r="AO126" s="2">
        <v>198</v>
      </c>
      <c r="AP126" s="2"/>
      <c r="AQ126" s="2">
        <v>0</v>
      </c>
      <c r="AR126" s="2"/>
      <c r="AS126" s="2">
        <v>0</v>
      </c>
      <c r="AT126" s="2"/>
      <c r="AU126" s="2"/>
      <c r="AV126" s="2"/>
      <c r="AW126" s="2"/>
      <c r="AX126" s="2"/>
      <c r="AY126" s="2">
        <v>0</v>
      </c>
      <c r="AZ126" s="2"/>
      <c r="BA126" s="2">
        <f t="shared" si="2"/>
        <v>16106032</v>
      </c>
      <c r="BB126" s="2"/>
      <c r="BC126" s="2">
        <f>+'St of Act-Rev'!AG124-BA126</f>
        <v>361479</v>
      </c>
      <c r="BD126" s="2"/>
      <c r="BE126" s="2">
        <v>4710802</v>
      </c>
      <c r="BF126" s="2"/>
      <c r="BG126" s="13">
        <f t="shared" si="3"/>
        <v>5072281</v>
      </c>
      <c r="BH126" s="13"/>
      <c r="BI126" s="13">
        <f>+'St of Net Assets'!AA122-BG126</f>
        <v>0</v>
      </c>
      <c r="BJ126" s="98"/>
    </row>
    <row r="127" spans="1:63" s="96" customFormat="1">
      <c r="A127" s="2" t="s">
        <v>389</v>
      </c>
      <c r="B127" s="19"/>
      <c r="C127" s="19" t="s">
        <v>254</v>
      </c>
      <c r="E127" s="19">
        <v>50260</v>
      </c>
      <c r="G127" s="2">
        <v>506129</v>
      </c>
      <c r="H127" s="2"/>
      <c r="I127" s="2">
        <v>778504</v>
      </c>
      <c r="J127" s="2"/>
      <c r="K127" s="2">
        <v>10</v>
      </c>
      <c r="L127" s="2"/>
      <c r="M127" s="2">
        <v>34992</v>
      </c>
      <c r="N127" s="2"/>
      <c r="O127" s="2">
        <v>1824047</v>
      </c>
      <c r="P127" s="2"/>
      <c r="Q127" s="2">
        <v>2029459</v>
      </c>
      <c r="R127" s="2"/>
      <c r="S127" s="2">
        <v>19319</v>
      </c>
      <c r="T127" s="2"/>
      <c r="U127" s="2">
        <v>325007</v>
      </c>
      <c r="V127" s="2"/>
      <c r="W127" s="2">
        <v>201988</v>
      </c>
      <c r="X127" s="2"/>
      <c r="Y127" s="2">
        <v>135414</v>
      </c>
      <c r="Z127" s="2"/>
      <c r="AA127" s="2">
        <v>181304</v>
      </c>
      <c r="AB127" s="2"/>
      <c r="AC127" s="19" t="s">
        <v>253</v>
      </c>
      <c r="AD127" s="19"/>
      <c r="AE127" s="19" t="s">
        <v>254</v>
      </c>
      <c r="AF127" s="19"/>
      <c r="AG127" s="2">
        <v>10158</v>
      </c>
      <c r="AH127" s="2"/>
      <c r="AI127" s="2">
        <v>228823</v>
      </c>
      <c r="AJ127" s="2"/>
      <c r="AK127" s="2"/>
      <c r="AL127" s="2"/>
      <c r="AM127" s="2">
        <v>0</v>
      </c>
      <c r="AN127" s="2"/>
      <c r="AO127" s="2">
        <v>0</v>
      </c>
      <c r="AP127" s="2"/>
      <c r="AQ127" s="2">
        <v>0</v>
      </c>
      <c r="AR127" s="2"/>
      <c r="AS127" s="2">
        <v>17217</v>
      </c>
      <c r="AT127" s="2"/>
      <c r="AU127" s="2"/>
      <c r="AV127" s="2"/>
      <c r="AW127" s="2"/>
      <c r="AX127" s="2"/>
      <c r="AY127" s="2">
        <v>0</v>
      </c>
      <c r="AZ127" s="2"/>
      <c r="BA127" s="2">
        <f t="shared" si="2"/>
        <v>6292371</v>
      </c>
      <c r="BB127" s="2"/>
      <c r="BC127" s="2">
        <f>+'St of Act-Rev'!AG125-BA127</f>
        <v>182932</v>
      </c>
      <c r="BD127" s="2"/>
      <c r="BE127" s="2">
        <v>1339988</v>
      </c>
      <c r="BF127" s="2"/>
      <c r="BG127" s="13">
        <f t="shared" si="3"/>
        <v>1522920</v>
      </c>
      <c r="BH127" s="13"/>
      <c r="BI127" s="13">
        <f>+'St of Net Assets'!AA123-BG127</f>
        <v>0</v>
      </c>
      <c r="BJ127" s="98"/>
    </row>
    <row r="128" spans="1:63" s="96" customFormat="1" hidden="1">
      <c r="A128" s="19" t="s">
        <v>257</v>
      </c>
      <c r="B128" s="19"/>
      <c r="C128" s="19" t="s">
        <v>258</v>
      </c>
      <c r="E128" s="19">
        <v>50401</v>
      </c>
      <c r="G128" s="2">
        <v>877427</v>
      </c>
      <c r="H128" s="2"/>
      <c r="I128" s="2">
        <v>4597678</v>
      </c>
      <c r="J128" s="2"/>
      <c r="K128" s="2"/>
      <c r="L128" s="2"/>
      <c r="M128" s="2">
        <v>20708</v>
      </c>
      <c r="N128" s="2"/>
      <c r="O128" s="2">
        <v>6980594</v>
      </c>
      <c r="P128" s="2"/>
      <c r="Q128" s="2">
        <v>220574</v>
      </c>
      <c r="R128" s="2"/>
      <c r="S128" s="2">
        <v>31271</v>
      </c>
      <c r="T128" s="2"/>
      <c r="U128" s="2">
        <v>1854248</v>
      </c>
      <c r="V128" s="2"/>
      <c r="W128" s="2">
        <v>458693</v>
      </c>
      <c r="X128" s="2"/>
      <c r="Y128" s="2">
        <v>79638</v>
      </c>
      <c r="Z128" s="2"/>
      <c r="AA128" s="2">
        <v>141750</v>
      </c>
      <c r="AB128" s="2"/>
      <c r="AC128" s="19" t="s">
        <v>257</v>
      </c>
      <c r="AD128" s="19"/>
      <c r="AE128" s="19" t="s">
        <v>258</v>
      </c>
      <c r="AF128" s="19"/>
      <c r="AG128" s="2">
        <v>185818</v>
      </c>
      <c r="AH128" s="2"/>
      <c r="AI128" s="2">
        <v>353054</v>
      </c>
      <c r="AJ128" s="2"/>
      <c r="AK128" s="2"/>
      <c r="AL128" s="2"/>
      <c r="AM128" s="2"/>
      <c r="AN128" s="2"/>
      <c r="AO128" s="2">
        <v>5601</v>
      </c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>
        <f t="shared" si="2"/>
        <v>15807054</v>
      </c>
      <c r="BB128" s="2"/>
      <c r="BC128" s="2">
        <f>+'St of Act-Rev'!AG126-BA128</f>
        <v>23176</v>
      </c>
      <c r="BD128" s="2"/>
      <c r="BE128" s="2">
        <v>5374085</v>
      </c>
      <c r="BF128" s="2"/>
      <c r="BG128" s="13">
        <f t="shared" si="3"/>
        <v>5397261</v>
      </c>
      <c r="BH128" s="13"/>
      <c r="BI128" s="13">
        <f>+'St of Net Assets'!AA124-BG128</f>
        <v>0</v>
      </c>
      <c r="BJ128" s="98"/>
      <c r="BK128" s="13" t="s">
        <v>373</v>
      </c>
    </row>
    <row r="129" spans="1:63" s="96" customFormat="1" hidden="1">
      <c r="A129" s="71" t="s">
        <v>259</v>
      </c>
      <c r="B129" s="19"/>
      <c r="C129" s="19" t="s">
        <v>260</v>
      </c>
      <c r="E129" s="19">
        <v>50476</v>
      </c>
      <c r="AZ129" s="2"/>
      <c r="BA129" s="2">
        <f t="shared" si="2"/>
        <v>0</v>
      </c>
      <c r="BB129" s="2"/>
      <c r="BC129" s="2">
        <f>+'St of Act-Rev'!AG127-BA129</f>
        <v>0</v>
      </c>
      <c r="BD129" s="2"/>
      <c r="BE129" s="2"/>
      <c r="BF129" s="2"/>
      <c r="BG129" s="13">
        <f t="shared" si="3"/>
        <v>0</v>
      </c>
      <c r="BH129" s="13"/>
      <c r="BI129" s="13">
        <f>+'St of Net Assets'!AA125-BG129</f>
        <v>0</v>
      </c>
      <c r="BJ129" s="98"/>
      <c r="BK129" s="60" t="s">
        <v>428</v>
      </c>
    </row>
    <row r="130" spans="1:63" s="96" customFormat="1">
      <c r="A130" s="19" t="s">
        <v>255</v>
      </c>
      <c r="B130" s="19"/>
      <c r="C130" s="19" t="s">
        <v>358</v>
      </c>
      <c r="E130" s="19">
        <v>134999</v>
      </c>
      <c r="G130" s="2">
        <v>1266697</v>
      </c>
      <c r="H130" s="2"/>
      <c r="I130" s="2">
        <v>1819661</v>
      </c>
      <c r="J130" s="2"/>
      <c r="K130" s="2">
        <v>0</v>
      </c>
      <c r="L130" s="2"/>
      <c r="M130" s="2">
        <v>0</v>
      </c>
      <c r="N130" s="2"/>
      <c r="O130" s="2">
        <v>1054385</v>
      </c>
      <c r="P130" s="2"/>
      <c r="Q130" s="2">
        <v>963880</v>
      </c>
      <c r="R130" s="2"/>
      <c r="S130" s="2">
        <v>52902</v>
      </c>
      <c r="T130" s="2"/>
      <c r="U130" s="2">
        <v>448423</v>
      </c>
      <c r="V130" s="2"/>
      <c r="W130" s="2">
        <v>126783</v>
      </c>
      <c r="X130" s="2"/>
      <c r="Y130" s="2">
        <v>0</v>
      </c>
      <c r="Z130" s="2"/>
      <c r="AA130" s="2">
        <v>11795</v>
      </c>
      <c r="AB130" s="2"/>
      <c r="AC130" s="19" t="s">
        <v>255</v>
      </c>
      <c r="AD130" s="19"/>
      <c r="AE130" s="19" t="s">
        <v>358</v>
      </c>
      <c r="AF130" s="19"/>
      <c r="AG130" s="2">
        <v>0</v>
      </c>
      <c r="AH130" s="2"/>
      <c r="AI130" s="2">
        <v>54740</v>
      </c>
      <c r="AJ130" s="2"/>
      <c r="AK130" s="2"/>
      <c r="AL130" s="2"/>
      <c r="AM130" s="2">
        <v>0</v>
      </c>
      <c r="AN130" s="2"/>
      <c r="AO130" s="2">
        <v>2875</v>
      </c>
      <c r="AP130" s="2"/>
      <c r="AQ130" s="2">
        <v>0</v>
      </c>
      <c r="AR130" s="2"/>
      <c r="AS130" s="2">
        <v>0</v>
      </c>
      <c r="AT130" s="2"/>
      <c r="AU130" s="2"/>
      <c r="AV130" s="2"/>
      <c r="AW130" s="2"/>
      <c r="AX130" s="2"/>
      <c r="AY130" s="2">
        <v>407530</v>
      </c>
      <c r="AZ130" s="2"/>
      <c r="BA130" s="2">
        <f>SUM(G130:AZ130)</f>
        <v>6209671</v>
      </c>
      <c r="BB130" s="2"/>
      <c r="BC130" s="2">
        <f>+'St of Act-Rev'!AG128-BA130</f>
        <v>-78064</v>
      </c>
      <c r="BD130" s="2"/>
      <c r="BE130" s="2">
        <v>613458</v>
      </c>
      <c r="BF130" s="2"/>
      <c r="BG130" s="13">
        <f t="shared" si="3"/>
        <v>535394</v>
      </c>
      <c r="BH130" s="13"/>
      <c r="BI130" s="13">
        <f>+'St of Net Assets'!AA126-BG130</f>
        <v>0</v>
      </c>
      <c r="BJ130" s="98"/>
    </row>
    <row r="131" spans="1:63" s="96" customFormat="1">
      <c r="A131" s="19" t="s">
        <v>263</v>
      </c>
      <c r="B131" s="19"/>
      <c r="C131" s="19" t="s">
        <v>264</v>
      </c>
      <c r="E131" s="19">
        <v>50666</v>
      </c>
      <c r="G131" s="2">
        <v>1156963</v>
      </c>
      <c r="H131" s="2"/>
      <c r="I131" s="2">
        <v>5799209</v>
      </c>
      <c r="J131" s="2"/>
      <c r="K131" s="2">
        <v>62475</v>
      </c>
      <c r="L131" s="2"/>
      <c r="M131" s="2">
        <v>24309</v>
      </c>
      <c r="N131" s="2"/>
      <c r="O131" s="2">
        <v>2887690</v>
      </c>
      <c r="P131" s="2"/>
      <c r="Q131" s="2">
        <v>3491393</v>
      </c>
      <c r="R131" s="2"/>
      <c r="S131" s="2">
        <v>51089</v>
      </c>
      <c r="T131" s="2"/>
      <c r="U131" s="2">
        <v>1804975</v>
      </c>
      <c r="V131" s="2"/>
      <c r="W131" s="2">
        <v>636425</v>
      </c>
      <c r="X131" s="2"/>
      <c r="Y131" s="2">
        <v>0</v>
      </c>
      <c r="Z131" s="2"/>
      <c r="AA131" s="2">
        <v>124220</v>
      </c>
      <c r="AB131" s="2"/>
      <c r="AC131" s="19" t="s">
        <v>263</v>
      </c>
      <c r="AD131" s="19"/>
      <c r="AE131" s="19" t="s">
        <v>264</v>
      </c>
      <c r="AF131" s="19"/>
      <c r="AG131" s="2">
        <v>56802</v>
      </c>
      <c r="AH131" s="2"/>
      <c r="AI131" s="2">
        <v>197510</v>
      </c>
      <c r="AJ131" s="2"/>
      <c r="AK131" s="2"/>
      <c r="AL131" s="2"/>
      <c r="AM131" s="2">
        <v>0</v>
      </c>
      <c r="AN131" s="2"/>
      <c r="AO131" s="2">
        <v>17838</v>
      </c>
      <c r="AP131" s="2"/>
      <c r="AQ131" s="2">
        <v>0</v>
      </c>
      <c r="AR131" s="2"/>
      <c r="AS131" s="2">
        <v>0</v>
      </c>
      <c r="AT131" s="2"/>
      <c r="AU131" s="2"/>
      <c r="AV131" s="2"/>
      <c r="AW131" s="2"/>
      <c r="AX131" s="2"/>
      <c r="AY131" s="2">
        <v>127034</v>
      </c>
      <c r="AZ131" s="2"/>
      <c r="BA131" s="2">
        <f t="shared" si="2"/>
        <v>16437932</v>
      </c>
      <c r="BB131" s="2"/>
      <c r="BC131" s="2">
        <f>+'St of Act-Rev'!AG129-BA131</f>
        <v>-97842</v>
      </c>
      <c r="BD131" s="2"/>
      <c r="BE131" s="2">
        <v>5718707</v>
      </c>
      <c r="BF131" s="2"/>
      <c r="BG131" s="13">
        <f t="shared" si="3"/>
        <v>5620865</v>
      </c>
      <c r="BH131" s="13"/>
      <c r="BI131" s="13">
        <f>+'St of Net Assets'!AA127-BG131</f>
        <v>0</v>
      </c>
      <c r="BJ131" s="98"/>
    </row>
    <row r="132" spans="1:63">
      <c r="G132" s="2"/>
    </row>
    <row r="133" spans="1:63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AA133" s="57" t="s">
        <v>348</v>
      </c>
    </row>
    <row r="139" spans="1:63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19"/>
      <c r="AD139" s="19"/>
      <c r="AE139" s="19"/>
      <c r="AF139" s="19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13"/>
    </row>
  </sheetData>
  <mergeCells count="2">
    <mergeCell ref="O8:AB8"/>
    <mergeCell ref="AM8:AO8"/>
  </mergeCells>
  <phoneticPr fontId="3" type="noConversion"/>
  <pageMargins left="0.7" right="0.7" top="0.5" bottom="0.5" header="0" footer="0.25"/>
  <pageSetup scale="85" firstPageNumber="16" fitToWidth="0" fitToHeight="0" pageOrder="overThenDown" orientation="portrait" useFirstPageNumber="1" horizontalDpi="300" verticalDpi="300" r:id="rId1"/>
  <headerFooter alignWithMargins="0">
    <oddFooter>&amp;C&amp;"Times New Roman,Regular"&amp;12&amp;P</oddFooter>
  </headerFooter>
  <rowBreaks count="1" manualBreakCount="1">
    <brk id="69" max="58" man="1"/>
  </rowBreaks>
  <colBreaks count="4" manualBreakCount="4">
    <brk id="13" max="1048575" man="1"/>
    <brk id="28" max="1048575" man="1"/>
    <brk id="41" max="1048575" man="1"/>
    <brk id="5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J129"/>
  <sheetViews>
    <sheetView zoomScaleNormal="100" zoomScaleSheetLayoutView="70" workbookViewId="0">
      <pane xSplit="6" ySplit="9" topLeftCell="G10" activePane="bottomRight" state="frozen"/>
      <selection pane="topRight" activeCell="G1" sqref="G1"/>
      <selection pane="bottomLeft" activeCell="A9" sqref="A9"/>
      <selection pane="bottomRight" activeCell="K7" sqref="K7"/>
    </sheetView>
  </sheetViews>
  <sheetFormatPr defaultRowHeight="12.75"/>
  <cols>
    <col min="1" max="1" width="40.7109375" customWidth="1"/>
    <col min="2" max="2" width="1.7109375" customWidth="1"/>
    <col min="3" max="3" width="11.7109375" customWidth="1"/>
    <col min="4" max="4" width="1.7109375" customWidth="1"/>
    <col min="5" max="5" width="11.7109375" hidden="1" customWidth="1"/>
    <col min="6" max="6" width="1.7109375" hidden="1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hidden="1" customWidth="1"/>
    <col min="22" max="22" width="1.7109375" hidden="1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1.7109375" customWidth="1"/>
    <col min="29" max="29" width="11.7109375" customWidth="1"/>
    <col min="30" max="30" width="1.7109375" customWidth="1"/>
    <col min="31" max="31" width="11.7109375" style="40" customWidth="1"/>
    <col min="32" max="32" width="1.7109375" customWidth="1"/>
  </cols>
  <sheetData>
    <row r="1" spans="1:33" s="19" customFormat="1" ht="12">
      <c r="A1" s="27" t="s">
        <v>96</v>
      </c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7"/>
      <c r="AE1" s="2"/>
    </row>
    <row r="2" spans="1:33" s="19" customFormat="1" ht="12">
      <c r="A2" s="27" t="s">
        <v>390</v>
      </c>
      <c r="B2" s="27"/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7"/>
      <c r="AE2" s="2"/>
    </row>
    <row r="3" spans="1:33" s="19" customFormat="1" ht="12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7"/>
      <c r="AE3" s="2"/>
    </row>
    <row r="4" spans="1:33" s="19" customFormat="1" ht="12">
      <c r="A4" s="18" t="s">
        <v>349</v>
      </c>
      <c r="B4" s="18"/>
      <c r="C4" s="18"/>
      <c r="D4" s="18"/>
      <c r="E4" s="18"/>
      <c r="F4" s="2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"/>
      <c r="Z4" s="2"/>
      <c r="AA4" s="2"/>
      <c r="AB4" s="2"/>
      <c r="AC4" s="2"/>
      <c r="AD4" s="29"/>
      <c r="AE4" s="2"/>
    </row>
    <row r="5" spans="1:33" s="19" customFormat="1" ht="12">
      <c r="A5" s="18"/>
      <c r="B5" s="18"/>
      <c r="C5" s="18"/>
      <c r="D5" s="18"/>
      <c r="E5" s="18"/>
      <c r="F5" s="2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"/>
      <c r="Z5" s="2"/>
      <c r="AA5" s="2"/>
      <c r="AB5" s="2"/>
      <c r="AC5" s="2"/>
      <c r="AD5" s="29"/>
      <c r="AE5" s="2"/>
    </row>
    <row r="6" spans="1:33" s="13" customFormat="1" ht="12">
      <c r="A6" s="58"/>
    </row>
    <row r="7" spans="1:33" s="21" customFormat="1" ht="12">
      <c r="B7" s="43"/>
      <c r="C7" s="43"/>
      <c r="D7" s="43"/>
      <c r="E7" s="43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310</v>
      </c>
      <c r="V7" s="8"/>
      <c r="X7" s="8"/>
      <c r="Y7" s="8" t="s">
        <v>321</v>
      </c>
      <c r="Z7" s="8"/>
      <c r="AA7" s="8" t="s">
        <v>321</v>
      </c>
      <c r="AB7" s="8"/>
      <c r="AC7" s="8" t="s">
        <v>9</v>
      </c>
      <c r="AD7" s="26"/>
      <c r="AE7" s="7" t="s">
        <v>5</v>
      </c>
    </row>
    <row r="8" spans="1:33" s="21" customFormat="1" ht="12">
      <c r="A8" s="83"/>
      <c r="B8" s="41"/>
      <c r="C8" s="41"/>
      <c r="D8" s="41"/>
      <c r="E8" s="41"/>
      <c r="F8" s="41"/>
      <c r="G8" s="8" t="s">
        <v>97</v>
      </c>
      <c r="H8" s="8"/>
      <c r="I8" s="8" t="s">
        <v>20</v>
      </c>
      <c r="J8" s="8"/>
      <c r="K8" s="8" t="s">
        <v>89</v>
      </c>
      <c r="L8" s="8"/>
      <c r="M8" s="8" t="s">
        <v>9</v>
      </c>
      <c r="N8" s="8"/>
      <c r="O8" s="8"/>
      <c r="P8" s="8"/>
      <c r="Q8" s="8" t="s">
        <v>8</v>
      </c>
      <c r="R8" s="8"/>
      <c r="S8" s="8" t="s">
        <v>9</v>
      </c>
      <c r="T8" s="8"/>
      <c r="U8" s="8" t="s">
        <v>29</v>
      </c>
      <c r="V8" s="8"/>
      <c r="W8" s="8" t="s">
        <v>98</v>
      </c>
      <c r="X8" s="8"/>
      <c r="Y8" s="8" t="s">
        <v>317</v>
      </c>
      <c r="Z8" s="8"/>
      <c r="AA8" s="8" t="s">
        <v>350</v>
      </c>
      <c r="AB8" s="8"/>
      <c r="AC8" s="8" t="s">
        <v>99</v>
      </c>
      <c r="AD8" s="26"/>
      <c r="AE8" s="7" t="s">
        <v>100</v>
      </c>
    </row>
    <row r="9" spans="1:33" s="26" customFormat="1" ht="12">
      <c r="A9" s="23" t="s">
        <v>434</v>
      </c>
      <c r="B9" s="21"/>
      <c r="C9" s="23" t="s">
        <v>13</v>
      </c>
      <c r="D9" s="21"/>
      <c r="E9" s="23" t="s">
        <v>14</v>
      </c>
      <c r="F9" s="42"/>
      <c r="G9" s="11" t="s">
        <v>15</v>
      </c>
      <c r="H9" s="12"/>
      <c r="I9" s="11" t="s">
        <v>2</v>
      </c>
      <c r="J9" s="12"/>
      <c r="K9" s="11" t="s">
        <v>2</v>
      </c>
      <c r="L9" s="12"/>
      <c r="M9" s="11" t="s">
        <v>2</v>
      </c>
      <c r="N9" s="12"/>
      <c r="O9" s="11" t="s">
        <v>16</v>
      </c>
      <c r="P9" s="12"/>
      <c r="Q9" s="11" t="s">
        <v>101</v>
      </c>
      <c r="R9" s="12"/>
      <c r="S9" s="11" t="s">
        <v>16</v>
      </c>
      <c r="T9" s="12"/>
      <c r="U9" s="12" t="s">
        <v>19</v>
      </c>
      <c r="V9" s="12"/>
      <c r="W9" s="11" t="s">
        <v>102</v>
      </c>
      <c r="X9" s="12"/>
      <c r="Y9" s="4" t="s">
        <v>102</v>
      </c>
      <c r="Z9" s="12"/>
      <c r="AA9" s="11" t="s">
        <v>102</v>
      </c>
      <c r="AB9" s="12"/>
      <c r="AC9" s="11" t="s">
        <v>125</v>
      </c>
      <c r="AE9" s="4" t="s">
        <v>22</v>
      </c>
    </row>
    <row r="10" spans="1:33" s="26" customFormat="1" ht="12">
      <c r="B10" s="21"/>
      <c r="D10" s="21"/>
      <c r="F10" s="4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8"/>
      <c r="Z10" s="12"/>
      <c r="AA10" s="12"/>
      <c r="AB10" s="12"/>
      <c r="AC10" s="12"/>
      <c r="AE10" s="8"/>
    </row>
    <row r="11" spans="1:33">
      <c r="A11" s="54" t="s">
        <v>346</v>
      </c>
    </row>
    <row r="12" spans="1:33" s="65" customFormat="1" hidden="1">
      <c r="A12" s="13" t="s">
        <v>399</v>
      </c>
      <c r="B12" s="13"/>
      <c r="C12" s="13" t="s">
        <v>365</v>
      </c>
      <c r="G12" s="81">
        <v>4621704</v>
      </c>
      <c r="H12" s="81"/>
      <c r="I12" s="81">
        <v>0</v>
      </c>
      <c r="J12" s="81"/>
      <c r="K12" s="59">
        <f>+M12-I12-G12</f>
        <v>0</v>
      </c>
      <c r="L12" s="81"/>
      <c r="M12" s="81">
        <v>4621704</v>
      </c>
      <c r="N12" s="81"/>
      <c r="O12" s="59">
        <f>+S12-Q12</f>
        <v>0</v>
      </c>
      <c r="P12" s="81"/>
      <c r="Q12" s="81">
        <v>0</v>
      </c>
      <c r="R12" s="81"/>
      <c r="S12" s="81">
        <v>0</v>
      </c>
      <c r="T12" s="81"/>
      <c r="U12" s="81"/>
      <c r="V12" s="81"/>
      <c r="W12" s="81">
        <v>679918</v>
      </c>
      <c r="X12" s="81"/>
      <c r="Y12" s="81">
        <v>0</v>
      </c>
      <c r="Z12" s="81"/>
      <c r="AA12" s="81">
        <v>3941786</v>
      </c>
      <c r="AB12" s="81"/>
      <c r="AC12" s="87">
        <f>SUM(W12:AA12)</f>
        <v>4621704</v>
      </c>
      <c r="AD12" s="60"/>
      <c r="AE12" s="13">
        <f>+G12+I12+K12-O12-Q12-AA12-Y12-U12-W12</f>
        <v>0</v>
      </c>
      <c r="AG12" s="60" t="s">
        <v>400</v>
      </c>
    </row>
    <row r="13" spans="1:33" s="65" customFormat="1">
      <c r="A13" s="13" t="s">
        <v>323</v>
      </c>
      <c r="B13" s="60"/>
      <c r="C13" s="60" t="s">
        <v>155</v>
      </c>
      <c r="E13" s="60">
        <v>62042</v>
      </c>
      <c r="G13" s="81">
        <v>3704667</v>
      </c>
      <c r="H13" s="81"/>
      <c r="I13" s="81">
        <v>0</v>
      </c>
      <c r="J13" s="81"/>
      <c r="K13" s="59">
        <f>+M13-I13-G13</f>
        <v>2809125</v>
      </c>
      <c r="L13" s="81"/>
      <c r="M13" s="81">
        <v>6513792</v>
      </c>
      <c r="N13" s="81"/>
      <c r="O13" s="59">
        <f>+S13-Q13</f>
        <v>552563</v>
      </c>
      <c r="P13" s="81"/>
      <c r="Q13" s="81">
        <v>2026537</v>
      </c>
      <c r="R13" s="81"/>
      <c r="S13" s="81">
        <v>2579100</v>
      </c>
      <c r="T13" s="81"/>
      <c r="U13" s="81"/>
      <c r="V13" s="81"/>
      <c r="W13" s="81">
        <f>10000+486440</f>
        <v>496440</v>
      </c>
      <c r="X13" s="81"/>
      <c r="Y13" s="81">
        <v>72189</v>
      </c>
      <c r="Z13" s="81"/>
      <c r="AA13" s="81">
        <v>3366063</v>
      </c>
      <c r="AB13" s="81"/>
      <c r="AC13" s="87">
        <f>SUM(W13:AA13)</f>
        <v>3934692</v>
      </c>
      <c r="AD13" s="60"/>
      <c r="AE13" s="13">
        <f>+G13+I13+K13-O13-Q13-AA13-Y13-U13-W13</f>
        <v>0</v>
      </c>
      <c r="AG13" s="13" t="s">
        <v>401</v>
      </c>
    </row>
    <row r="14" spans="1:33" s="65" customFormat="1">
      <c r="A14" s="13" t="s">
        <v>265</v>
      </c>
      <c r="B14" s="60"/>
      <c r="C14" s="60" t="s">
        <v>156</v>
      </c>
      <c r="E14" s="60">
        <v>50815</v>
      </c>
      <c r="G14" s="13">
        <v>4819047</v>
      </c>
      <c r="H14" s="13"/>
      <c r="I14" s="13">
        <v>4867</v>
      </c>
      <c r="J14" s="13"/>
      <c r="K14" s="30">
        <f>+M14-I14-G14</f>
        <v>4958869</v>
      </c>
      <c r="L14" s="13"/>
      <c r="M14" s="13">
        <v>9782783</v>
      </c>
      <c r="N14" s="13"/>
      <c r="O14" s="30">
        <f>+S14-Q14</f>
        <v>1070311</v>
      </c>
      <c r="P14" s="13"/>
      <c r="Q14" s="13">
        <v>2801679</v>
      </c>
      <c r="R14" s="13"/>
      <c r="S14" s="13">
        <v>3871990</v>
      </c>
      <c r="T14" s="13"/>
      <c r="U14" s="13"/>
      <c r="V14" s="13"/>
      <c r="W14" s="13">
        <f>163456+1498027+4867</f>
        <v>1666350</v>
      </c>
      <c r="X14" s="13"/>
      <c r="Y14" s="13">
        <v>0</v>
      </c>
      <c r="Z14" s="13"/>
      <c r="AA14" s="13">
        <v>4244443</v>
      </c>
      <c r="AB14" s="13"/>
      <c r="AC14" s="90">
        <f>SUM(W14:AA14)</f>
        <v>5910793</v>
      </c>
      <c r="AD14" s="60"/>
      <c r="AE14" s="13">
        <f>+G14+I14+K14-O14-Q14-AA14-Y14-U14-W14</f>
        <v>0</v>
      </c>
      <c r="AG14" s="13" t="s">
        <v>401</v>
      </c>
    </row>
    <row r="15" spans="1:33" s="65" customFormat="1">
      <c r="A15" s="13" t="s">
        <v>277</v>
      </c>
      <c r="B15" s="60"/>
      <c r="C15" s="60" t="s">
        <v>158</v>
      </c>
      <c r="E15" s="60">
        <v>51169</v>
      </c>
      <c r="G15" s="13">
        <v>4366640</v>
      </c>
      <c r="H15" s="13"/>
      <c r="I15" s="13">
        <v>0</v>
      </c>
      <c r="J15" s="13"/>
      <c r="K15" s="30">
        <f t="shared" ref="K15:K62" si="0">+M15-I15-G15</f>
        <v>4653870</v>
      </c>
      <c r="L15" s="13"/>
      <c r="M15" s="13">
        <v>9020510</v>
      </c>
      <c r="N15" s="13"/>
      <c r="O15" s="30">
        <f t="shared" ref="O15:O62" si="1">+S15-Q15</f>
        <v>697940</v>
      </c>
      <c r="P15" s="13"/>
      <c r="Q15" s="13">
        <v>3197628</v>
      </c>
      <c r="R15" s="13"/>
      <c r="S15" s="13">
        <v>3895568</v>
      </c>
      <c r="T15" s="13"/>
      <c r="U15" s="13"/>
      <c r="V15" s="13"/>
      <c r="W15" s="13">
        <f>83602+602360+150000</f>
        <v>835962</v>
      </c>
      <c r="X15" s="13"/>
      <c r="Y15" s="13">
        <v>0</v>
      </c>
      <c r="Z15" s="13"/>
      <c r="AA15" s="13">
        <v>4288980</v>
      </c>
      <c r="AB15" s="13"/>
      <c r="AC15" s="90">
        <f t="shared" ref="AC15:AC62" si="2">SUM(W15:AA15)</f>
        <v>5124942</v>
      </c>
      <c r="AD15" s="60"/>
      <c r="AE15" s="13">
        <f t="shared" ref="AE15:AE62" si="3">+G15+I15+K15-O15-Q15-AA15-Y15-U15-W15</f>
        <v>0</v>
      </c>
      <c r="AG15" s="13" t="s">
        <v>401</v>
      </c>
    </row>
    <row r="16" spans="1:33" s="65" customFormat="1">
      <c r="A16" s="13" t="s">
        <v>267</v>
      </c>
      <c r="B16" s="60"/>
      <c r="C16" s="60" t="s">
        <v>162</v>
      </c>
      <c r="E16" s="60">
        <v>50856</v>
      </c>
      <c r="G16" s="13">
        <v>599779</v>
      </c>
      <c r="H16" s="13"/>
      <c r="I16" s="13">
        <v>33817</v>
      </c>
      <c r="J16" s="13"/>
      <c r="K16" s="30">
        <f t="shared" si="0"/>
        <v>1725303</v>
      </c>
      <c r="L16" s="13"/>
      <c r="M16" s="13">
        <v>2358899</v>
      </c>
      <c r="N16" s="13"/>
      <c r="O16" s="30">
        <f t="shared" si="1"/>
        <v>712826</v>
      </c>
      <c r="P16" s="13"/>
      <c r="Q16" s="13">
        <v>1535953</v>
      </c>
      <c r="R16" s="13"/>
      <c r="S16" s="13">
        <v>2248779</v>
      </c>
      <c r="T16" s="13"/>
      <c r="U16" s="13"/>
      <c r="V16" s="13"/>
      <c r="W16" s="13">
        <f>70195+104157+22817+11000</f>
        <v>208169</v>
      </c>
      <c r="X16" s="13"/>
      <c r="Y16" s="13">
        <v>0</v>
      </c>
      <c r="Z16" s="13"/>
      <c r="AA16" s="13">
        <v>-98049</v>
      </c>
      <c r="AB16" s="13"/>
      <c r="AC16" s="90">
        <f t="shared" si="2"/>
        <v>110120</v>
      </c>
      <c r="AD16" s="60"/>
      <c r="AE16" s="13">
        <f t="shared" si="3"/>
        <v>0</v>
      </c>
      <c r="AG16" s="13" t="s">
        <v>401</v>
      </c>
    </row>
    <row r="17" spans="1:33">
      <c r="A17" s="13" t="s">
        <v>290</v>
      </c>
      <c r="B17" s="19"/>
      <c r="C17" s="19" t="s">
        <v>254</v>
      </c>
      <c r="E17" s="19">
        <v>51656</v>
      </c>
      <c r="G17" s="2">
        <v>11682677</v>
      </c>
      <c r="H17" s="2"/>
      <c r="I17" s="2">
        <v>167139</v>
      </c>
      <c r="J17" s="2"/>
      <c r="K17" s="30">
        <f t="shared" si="0"/>
        <v>4986770</v>
      </c>
      <c r="L17" s="2"/>
      <c r="M17" s="2">
        <v>16836586</v>
      </c>
      <c r="N17" s="2"/>
      <c r="O17" s="30">
        <f t="shared" si="1"/>
        <v>4780010</v>
      </c>
      <c r="P17" s="2"/>
      <c r="Q17" s="2">
        <v>287744</v>
      </c>
      <c r="R17" s="2"/>
      <c r="S17" s="2">
        <v>5067754</v>
      </c>
      <c r="T17" s="2"/>
      <c r="U17" s="2"/>
      <c r="V17" s="2"/>
      <c r="W17" s="2">
        <v>891603</v>
      </c>
      <c r="X17" s="2"/>
      <c r="Y17" s="2">
        <v>0</v>
      </c>
      <c r="Z17" s="2"/>
      <c r="AA17" s="2">
        <v>10877229</v>
      </c>
      <c r="AB17" s="2"/>
      <c r="AC17" s="31">
        <f t="shared" si="2"/>
        <v>11768832</v>
      </c>
      <c r="AD17" s="19"/>
      <c r="AE17" s="2">
        <f t="shared" si="3"/>
        <v>0</v>
      </c>
    </row>
    <row r="18" spans="1:33">
      <c r="A18" s="13" t="s">
        <v>388</v>
      </c>
      <c r="B18" s="19"/>
      <c r="C18" s="19" t="s">
        <v>159</v>
      </c>
      <c r="E18" s="19">
        <v>50880</v>
      </c>
      <c r="G18" s="2">
        <v>8879489</v>
      </c>
      <c r="H18" s="2"/>
      <c r="I18" s="2">
        <v>467953</v>
      </c>
      <c r="J18" s="2"/>
      <c r="K18" s="30">
        <f t="shared" si="0"/>
        <v>16584251</v>
      </c>
      <c r="L18" s="2"/>
      <c r="M18" s="2">
        <v>25931693</v>
      </c>
      <c r="N18" s="2"/>
      <c r="O18" s="30">
        <f t="shared" si="1"/>
        <v>3633906</v>
      </c>
      <c r="P18" s="2"/>
      <c r="Q18" s="2">
        <v>15968426</v>
      </c>
      <c r="R18" s="2"/>
      <c r="S18" s="2">
        <v>19602332</v>
      </c>
      <c r="T18" s="2"/>
      <c r="U18" s="2"/>
      <c r="V18" s="2"/>
      <c r="W18" s="2">
        <v>1891963</v>
      </c>
      <c r="X18" s="2"/>
      <c r="Y18" s="2">
        <v>0</v>
      </c>
      <c r="Z18" s="2"/>
      <c r="AA18" s="2">
        <v>4437398</v>
      </c>
      <c r="AB18" s="2"/>
      <c r="AC18" s="31">
        <f t="shared" si="2"/>
        <v>6329361</v>
      </c>
      <c r="AD18" s="19"/>
      <c r="AE18" s="2">
        <f t="shared" si="3"/>
        <v>0</v>
      </c>
    </row>
    <row r="19" spans="1:33" s="65" customFormat="1" hidden="1">
      <c r="A19" s="17" t="s">
        <v>396</v>
      </c>
      <c r="B19" s="60"/>
      <c r="C19" s="60" t="s">
        <v>282</v>
      </c>
      <c r="E19" s="60">
        <v>63511</v>
      </c>
      <c r="G19" s="13"/>
      <c r="H19" s="13"/>
      <c r="I19" s="13"/>
      <c r="J19" s="13"/>
      <c r="K19" s="30">
        <f t="shared" si="0"/>
        <v>0</v>
      </c>
      <c r="L19" s="13"/>
      <c r="M19" s="13"/>
      <c r="N19" s="13"/>
      <c r="O19" s="30">
        <f t="shared" si="1"/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3">
        <v>0</v>
      </c>
      <c r="Z19" s="13"/>
      <c r="AA19" s="13"/>
      <c r="AB19" s="13"/>
      <c r="AC19" s="90">
        <f t="shared" si="2"/>
        <v>0</v>
      </c>
      <c r="AD19" s="60"/>
      <c r="AE19" s="13">
        <f t="shared" si="3"/>
        <v>0</v>
      </c>
      <c r="AG19" s="80" t="s">
        <v>397</v>
      </c>
    </row>
    <row r="20" spans="1:33">
      <c r="A20" s="13" t="s">
        <v>392</v>
      </c>
      <c r="B20" s="19"/>
      <c r="C20" s="19" t="s">
        <v>175</v>
      </c>
      <c r="E20" s="19">
        <v>50906</v>
      </c>
      <c r="G20" s="2">
        <v>3064090</v>
      </c>
      <c r="H20" s="2"/>
      <c r="I20" s="2">
        <v>0</v>
      </c>
      <c r="J20" s="2"/>
      <c r="K20" s="30">
        <f t="shared" si="0"/>
        <v>2193534</v>
      </c>
      <c r="L20" s="2"/>
      <c r="M20" s="2">
        <v>5257624</v>
      </c>
      <c r="N20" s="2"/>
      <c r="O20" s="30">
        <f t="shared" si="1"/>
        <v>2458812</v>
      </c>
      <c r="P20" s="2"/>
      <c r="Q20" s="2">
        <v>159622</v>
      </c>
      <c r="R20" s="2"/>
      <c r="S20" s="2">
        <v>2618434</v>
      </c>
      <c r="T20" s="2"/>
      <c r="U20" s="2"/>
      <c r="V20" s="2"/>
      <c r="W20" s="2">
        <v>114787</v>
      </c>
      <c r="X20" s="2"/>
      <c r="Y20" s="2">
        <v>0</v>
      </c>
      <c r="Z20" s="2"/>
      <c r="AA20" s="2">
        <v>2524403</v>
      </c>
      <c r="AB20" s="2"/>
      <c r="AC20" s="31">
        <f t="shared" si="2"/>
        <v>2639190</v>
      </c>
      <c r="AD20" s="19"/>
      <c r="AE20" s="13">
        <f t="shared" si="3"/>
        <v>0</v>
      </c>
    </row>
    <row r="21" spans="1:33">
      <c r="A21" s="13" t="s">
        <v>328</v>
      </c>
      <c r="B21" s="19"/>
      <c r="C21" s="19" t="s">
        <v>272</v>
      </c>
      <c r="E21" s="19">
        <v>65227</v>
      </c>
      <c r="G21" s="2">
        <v>298250</v>
      </c>
      <c r="H21" s="2"/>
      <c r="I21" s="2">
        <v>12200</v>
      </c>
      <c r="J21" s="2"/>
      <c r="K21" s="30">
        <f t="shared" si="0"/>
        <v>1296733</v>
      </c>
      <c r="L21" s="2"/>
      <c r="M21" s="2">
        <v>1607183</v>
      </c>
      <c r="N21" s="2"/>
      <c r="O21" s="30">
        <f t="shared" si="1"/>
        <v>358788</v>
      </c>
      <c r="P21" s="2"/>
      <c r="Q21" s="2">
        <v>1259475</v>
      </c>
      <c r="R21" s="2"/>
      <c r="S21" s="2">
        <v>1618263</v>
      </c>
      <c r="T21" s="2"/>
      <c r="U21" s="2"/>
      <c r="V21" s="2"/>
      <c r="W21" s="2">
        <v>69464</v>
      </c>
      <c r="X21" s="2"/>
      <c r="Y21" s="2">
        <v>0</v>
      </c>
      <c r="Z21" s="2"/>
      <c r="AA21" s="2">
        <v>-80544</v>
      </c>
      <c r="AB21" s="2"/>
      <c r="AC21" s="31">
        <f t="shared" si="2"/>
        <v>-11080</v>
      </c>
      <c r="AD21" s="19"/>
      <c r="AE21" s="13">
        <f t="shared" si="3"/>
        <v>0</v>
      </c>
    </row>
    <row r="22" spans="1:33" s="65" customFormat="1">
      <c r="A22" s="13" t="s">
        <v>403</v>
      </c>
      <c r="B22" s="60"/>
      <c r="C22" s="60" t="s">
        <v>207</v>
      </c>
      <c r="E22" s="60">
        <v>51201</v>
      </c>
      <c r="G22" s="13">
        <f>862796+68400</f>
        <v>931196</v>
      </c>
      <c r="H22" s="13"/>
      <c r="I22" s="13">
        <v>0</v>
      </c>
      <c r="J22" s="13"/>
      <c r="K22" s="30">
        <f t="shared" si="0"/>
        <v>7064174</v>
      </c>
      <c r="L22" s="13"/>
      <c r="M22" s="13">
        <v>7995370</v>
      </c>
      <c r="N22" s="13"/>
      <c r="O22" s="30">
        <f t="shared" si="1"/>
        <v>1140129</v>
      </c>
      <c r="P22" s="13"/>
      <c r="Q22" s="13">
        <v>6197649</v>
      </c>
      <c r="R22" s="13"/>
      <c r="S22" s="13">
        <v>7337778</v>
      </c>
      <c r="T22" s="13"/>
      <c r="U22" s="13"/>
      <c r="V22" s="13"/>
      <c r="W22" s="13">
        <f>343167+613925</f>
        <v>957092</v>
      </c>
      <c r="X22" s="13"/>
      <c r="Y22" s="13">
        <v>0</v>
      </c>
      <c r="Z22" s="13"/>
      <c r="AA22" s="13">
        <v>-299500</v>
      </c>
      <c r="AB22" s="13"/>
      <c r="AC22" s="90">
        <f t="shared" si="2"/>
        <v>657592</v>
      </c>
      <c r="AD22" s="60"/>
      <c r="AE22" s="13">
        <f t="shared" si="3"/>
        <v>0</v>
      </c>
      <c r="AG22" s="13" t="s">
        <v>401</v>
      </c>
    </row>
    <row r="23" spans="1:33">
      <c r="A23" s="2" t="s">
        <v>325</v>
      </c>
      <c r="B23" s="19"/>
      <c r="C23" s="19" t="s">
        <v>177</v>
      </c>
      <c r="E23" s="19">
        <v>50922</v>
      </c>
      <c r="G23" s="2">
        <v>7743735</v>
      </c>
      <c r="H23" s="2"/>
      <c r="I23" s="2">
        <v>0</v>
      </c>
      <c r="J23" s="2"/>
      <c r="K23" s="30">
        <f t="shared" si="0"/>
        <v>17092551</v>
      </c>
      <c r="L23" s="2"/>
      <c r="M23" s="2">
        <v>24836286</v>
      </c>
      <c r="N23" s="2"/>
      <c r="O23" s="30">
        <f t="shared" si="1"/>
        <v>10604912</v>
      </c>
      <c r="P23" s="2"/>
      <c r="Q23" s="2">
        <v>1020717</v>
      </c>
      <c r="R23" s="2"/>
      <c r="S23" s="2">
        <v>11625629</v>
      </c>
      <c r="T23" s="2"/>
      <c r="U23" s="2"/>
      <c r="V23" s="2"/>
      <c r="W23" s="2">
        <v>2607415</v>
      </c>
      <c r="X23" s="2"/>
      <c r="Y23" s="2">
        <v>0</v>
      </c>
      <c r="Z23" s="2"/>
      <c r="AA23" s="2">
        <v>10603242</v>
      </c>
      <c r="AB23" s="2"/>
      <c r="AC23" s="31">
        <f t="shared" si="2"/>
        <v>13210657</v>
      </c>
      <c r="AD23" s="19"/>
      <c r="AE23" s="2">
        <f t="shared" si="3"/>
        <v>0</v>
      </c>
    </row>
    <row r="24" spans="1:33">
      <c r="A24" s="2" t="s">
        <v>324</v>
      </c>
      <c r="B24" s="19"/>
      <c r="C24" s="19" t="s">
        <v>181</v>
      </c>
      <c r="E24" s="19">
        <v>50989</v>
      </c>
      <c r="G24" s="2">
        <v>12337651</v>
      </c>
      <c r="H24" s="2"/>
      <c r="I24" s="2">
        <v>49102</v>
      </c>
      <c r="J24" s="2"/>
      <c r="K24" s="30">
        <f t="shared" si="0"/>
        <v>10087642</v>
      </c>
      <c r="L24" s="2"/>
      <c r="M24" s="2">
        <v>22474395</v>
      </c>
      <c r="N24" s="2"/>
      <c r="O24" s="30">
        <f t="shared" si="1"/>
        <v>9027176</v>
      </c>
      <c r="P24" s="2"/>
      <c r="Q24" s="2">
        <v>393722</v>
      </c>
      <c r="R24" s="2"/>
      <c r="S24" s="2">
        <v>9420898</v>
      </c>
      <c r="T24" s="2"/>
      <c r="U24" s="2"/>
      <c r="V24" s="2"/>
      <c r="W24" s="2">
        <v>1624938</v>
      </c>
      <c r="X24" s="2"/>
      <c r="Y24" s="2">
        <v>0</v>
      </c>
      <c r="Z24" s="2"/>
      <c r="AA24" s="2">
        <v>11428559</v>
      </c>
      <c r="AB24" s="2"/>
      <c r="AC24" s="31">
        <f t="shared" si="2"/>
        <v>13053497</v>
      </c>
      <c r="AD24" s="19"/>
      <c r="AE24" s="2">
        <f t="shared" si="3"/>
        <v>0</v>
      </c>
    </row>
    <row r="25" spans="1:33">
      <c r="A25" s="2" t="s">
        <v>326</v>
      </c>
      <c r="B25" s="19"/>
      <c r="C25" s="19" t="s">
        <v>186</v>
      </c>
      <c r="E25" s="19">
        <v>51003</v>
      </c>
      <c r="G25" s="2">
        <v>21424213</v>
      </c>
      <c r="H25" s="2"/>
      <c r="I25" s="2">
        <v>11537</v>
      </c>
      <c r="J25" s="2"/>
      <c r="K25" s="30">
        <f t="shared" si="0"/>
        <v>14865387</v>
      </c>
      <c r="L25" s="2"/>
      <c r="M25" s="2">
        <v>36301137</v>
      </c>
      <c r="N25" s="2"/>
      <c r="O25" s="30">
        <f t="shared" si="1"/>
        <v>2367119</v>
      </c>
      <c r="P25" s="2"/>
      <c r="Q25" s="2">
        <v>10755551</v>
      </c>
      <c r="R25" s="2"/>
      <c r="S25" s="2">
        <v>13122670</v>
      </c>
      <c r="T25" s="2"/>
      <c r="U25" s="2"/>
      <c r="V25" s="2"/>
      <c r="W25" s="2">
        <v>8266523</v>
      </c>
      <c r="X25" s="2"/>
      <c r="Y25" s="2">
        <v>0</v>
      </c>
      <c r="Z25" s="2"/>
      <c r="AA25" s="2">
        <v>14911944</v>
      </c>
      <c r="AB25" s="2"/>
      <c r="AC25" s="31">
        <f t="shared" si="2"/>
        <v>23178467</v>
      </c>
      <c r="AD25" s="19"/>
      <c r="AE25" s="2">
        <f t="shared" si="3"/>
        <v>0</v>
      </c>
    </row>
    <row r="26" spans="1:33" s="65" customFormat="1">
      <c r="A26" s="13" t="s">
        <v>327</v>
      </c>
      <c r="B26" s="60"/>
      <c r="C26" s="60" t="s">
        <v>183</v>
      </c>
      <c r="E26" s="60">
        <v>51029</v>
      </c>
      <c r="G26" s="13">
        <v>5307993</v>
      </c>
      <c r="H26" s="13"/>
      <c r="I26" s="13">
        <v>0</v>
      </c>
      <c r="J26" s="13"/>
      <c r="K26" s="30">
        <f t="shared" si="0"/>
        <v>6539116</v>
      </c>
      <c r="L26" s="13"/>
      <c r="M26" s="13">
        <v>11847109</v>
      </c>
      <c r="N26" s="13"/>
      <c r="O26" s="30">
        <f t="shared" si="1"/>
        <v>6035386</v>
      </c>
      <c r="P26" s="13"/>
      <c r="Q26" s="13">
        <v>538788</v>
      </c>
      <c r="R26" s="13"/>
      <c r="S26" s="13">
        <v>6574174</v>
      </c>
      <c r="T26" s="13"/>
      <c r="U26" s="13"/>
      <c r="V26" s="13"/>
      <c r="W26" s="13">
        <f>34256+9308+757192+2913+11977</f>
        <v>815646</v>
      </c>
      <c r="X26" s="13"/>
      <c r="Y26" s="13">
        <v>0</v>
      </c>
      <c r="Z26" s="13"/>
      <c r="AA26" s="13">
        <v>4457289</v>
      </c>
      <c r="AB26" s="13"/>
      <c r="AC26" s="90">
        <f t="shared" si="2"/>
        <v>5272935</v>
      </c>
      <c r="AD26" s="60"/>
      <c r="AE26" s="13">
        <f t="shared" si="3"/>
        <v>0</v>
      </c>
      <c r="AG26" s="13" t="s">
        <v>401</v>
      </c>
    </row>
    <row r="27" spans="1:33">
      <c r="A27" s="2" t="s">
        <v>329</v>
      </c>
      <c r="B27" s="19"/>
      <c r="C27" s="19" t="s">
        <v>275</v>
      </c>
      <c r="E27" s="19">
        <v>50963</v>
      </c>
      <c r="G27" s="2">
        <v>5855600</v>
      </c>
      <c r="H27" s="2"/>
      <c r="I27" s="2">
        <v>0</v>
      </c>
      <c r="J27" s="2"/>
      <c r="K27" s="30">
        <f t="shared" si="0"/>
        <v>11601018</v>
      </c>
      <c r="L27" s="2"/>
      <c r="M27" s="2">
        <v>17456618</v>
      </c>
      <c r="N27" s="2"/>
      <c r="O27" s="30">
        <f t="shared" si="1"/>
        <v>4695773</v>
      </c>
      <c r="P27" s="2"/>
      <c r="Q27" s="2">
        <v>1272255</v>
      </c>
      <c r="R27" s="2"/>
      <c r="S27" s="2">
        <v>5968028</v>
      </c>
      <c r="T27" s="2"/>
      <c r="U27" s="2"/>
      <c r="V27" s="2"/>
      <c r="W27" s="2">
        <v>571736</v>
      </c>
      <c r="X27" s="2"/>
      <c r="Y27" s="2">
        <v>0</v>
      </c>
      <c r="Z27" s="2"/>
      <c r="AA27" s="2">
        <v>10916854</v>
      </c>
      <c r="AB27" s="2"/>
      <c r="AC27" s="31">
        <f t="shared" si="2"/>
        <v>11488590</v>
      </c>
      <c r="AD27" s="19"/>
      <c r="AE27" s="2">
        <f t="shared" si="3"/>
        <v>0</v>
      </c>
    </row>
    <row r="28" spans="1:33">
      <c r="A28" s="2" t="s">
        <v>273</v>
      </c>
      <c r="B28" s="19"/>
      <c r="C28" s="19" t="s">
        <v>189</v>
      </c>
      <c r="E28" s="19">
        <v>62067</v>
      </c>
      <c r="G28" s="2">
        <v>2165929</v>
      </c>
      <c r="H28" s="2"/>
      <c r="I28" s="2">
        <v>32757</v>
      </c>
      <c r="J28" s="2"/>
      <c r="K28" s="30">
        <f t="shared" si="0"/>
        <v>3295072</v>
      </c>
      <c r="L28" s="2"/>
      <c r="M28" s="2">
        <v>5493758</v>
      </c>
      <c r="N28" s="2"/>
      <c r="O28" s="30">
        <f t="shared" si="1"/>
        <v>750169</v>
      </c>
      <c r="P28" s="2"/>
      <c r="Q28" s="2">
        <v>2990423</v>
      </c>
      <c r="R28" s="2"/>
      <c r="S28" s="2">
        <v>3740592</v>
      </c>
      <c r="T28" s="2"/>
      <c r="U28" s="2"/>
      <c r="V28" s="2"/>
      <c r="W28" s="2">
        <v>415060</v>
      </c>
      <c r="X28" s="2"/>
      <c r="Y28" s="2">
        <v>0</v>
      </c>
      <c r="Z28" s="2"/>
      <c r="AA28" s="2">
        <v>1338106</v>
      </c>
      <c r="AB28" s="2"/>
      <c r="AC28" s="31">
        <f t="shared" si="2"/>
        <v>1753166</v>
      </c>
      <c r="AD28" s="19"/>
      <c r="AE28" s="2">
        <f t="shared" si="3"/>
        <v>0</v>
      </c>
    </row>
    <row r="29" spans="1:33" s="65" customFormat="1">
      <c r="A29" s="13" t="s">
        <v>274</v>
      </c>
      <c r="B29" s="60"/>
      <c r="C29" s="60" t="s">
        <v>195</v>
      </c>
      <c r="E29" s="60">
        <v>51060</v>
      </c>
      <c r="G29" s="13">
        <v>47376775</v>
      </c>
      <c r="H29" s="13"/>
      <c r="I29" s="13">
        <v>0</v>
      </c>
      <c r="J29" s="13"/>
      <c r="K29" s="30">
        <f>+M29-I29-G29</f>
        <v>41037465</v>
      </c>
      <c r="L29" s="13"/>
      <c r="M29" s="13">
        <v>88414240</v>
      </c>
      <c r="N29" s="13"/>
      <c r="O29" s="30">
        <f>+S29-Q29</f>
        <v>5060367</v>
      </c>
      <c r="P29" s="13"/>
      <c r="Q29" s="13">
        <v>28721197</v>
      </c>
      <c r="R29" s="13"/>
      <c r="S29" s="13">
        <v>33781564</v>
      </c>
      <c r="T29" s="13"/>
      <c r="U29" s="13"/>
      <c r="V29" s="13"/>
      <c r="W29" s="13">
        <f>344593+621267+9520214</f>
        <v>10486074</v>
      </c>
      <c r="X29" s="13"/>
      <c r="Y29" s="13">
        <v>0</v>
      </c>
      <c r="Z29" s="13"/>
      <c r="AA29" s="13">
        <v>44146602</v>
      </c>
      <c r="AB29" s="13"/>
      <c r="AC29" s="90">
        <f>SUM(W29:AA29)</f>
        <v>54632676</v>
      </c>
      <c r="AD29" s="60"/>
      <c r="AE29" s="13">
        <f>+G29+I29+K29-O29-Q29-AA29-Y29-U29-W29</f>
        <v>0</v>
      </c>
      <c r="AG29" s="13" t="s">
        <v>401</v>
      </c>
    </row>
    <row r="30" spans="1:33">
      <c r="A30" s="2" t="s">
        <v>330</v>
      </c>
      <c r="B30" s="19"/>
      <c r="C30" s="19" t="s">
        <v>193</v>
      </c>
      <c r="E30" s="19">
        <v>51045</v>
      </c>
      <c r="G30" s="2">
        <v>3880618</v>
      </c>
      <c r="H30" s="2"/>
      <c r="I30" s="2">
        <v>0</v>
      </c>
      <c r="J30" s="2"/>
      <c r="K30" s="30">
        <f t="shared" si="0"/>
        <v>6815390</v>
      </c>
      <c r="L30" s="2"/>
      <c r="M30" s="2">
        <v>10696008</v>
      </c>
      <c r="N30" s="2"/>
      <c r="O30" s="30">
        <f t="shared" si="1"/>
        <v>1328966</v>
      </c>
      <c r="P30" s="2"/>
      <c r="Q30" s="2">
        <v>6380849</v>
      </c>
      <c r="R30" s="2"/>
      <c r="S30" s="2">
        <v>7709815</v>
      </c>
      <c r="T30" s="2"/>
      <c r="U30" s="2"/>
      <c r="V30" s="2"/>
      <c r="W30" s="2">
        <v>436600</v>
      </c>
      <c r="X30" s="2"/>
      <c r="Y30" s="2">
        <v>0</v>
      </c>
      <c r="Z30" s="2"/>
      <c r="AA30" s="2">
        <v>2549593</v>
      </c>
      <c r="AB30" s="2"/>
      <c r="AC30" s="31">
        <f t="shared" si="2"/>
        <v>2986193</v>
      </c>
      <c r="AD30" s="19"/>
      <c r="AE30" s="2">
        <f t="shared" si="3"/>
        <v>0</v>
      </c>
    </row>
    <row r="31" spans="1:33">
      <c r="A31" s="2" t="s">
        <v>276</v>
      </c>
      <c r="B31" s="19"/>
      <c r="C31" s="19" t="s">
        <v>200</v>
      </c>
      <c r="E31" s="19">
        <v>51128</v>
      </c>
      <c r="G31" s="2">
        <v>68085</v>
      </c>
      <c r="H31" s="2"/>
      <c r="I31" s="2">
        <v>17604</v>
      </c>
      <c r="J31" s="2"/>
      <c r="K31" s="30">
        <f t="shared" si="0"/>
        <v>1752416</v>
      </c>
      <c r="L31" s="2"/>
      <c r="M31" s="2">
        <v>1838105</v>
      </c>
      <c r="N31" s="2"/>
      <c r="O31" s="30">
        <f t="shared" si="1"/>
        <v>444602</v>
      </c>
      <c r="P31" s="2"/>
      <c r="Q31" s="2">
        <v>1548312</v>
      </c>
      <c r="R31" s="2"/>
      <c r="S31" s="2">
        <v>1992914</v>
      </c>
      <c r="T31" s="2"/>
      <c r="U31" s="2"/>
      <c r="V31" s="2"/>
      <c r="W31" s="2">
        <v>182195</v>
      </c>
      <c r="X31" s="2"/>
      <c r="Y31" s="2">
        <v>0</v>
      </c>
      <c r="Z31" s="2"/>
      <c r="AA31" s="2">
        <v>-337004</v>
      </c>
      <c r="AB31" s="2"/>
      <c r="AC31" s="31">
        <f t="shared" si="2"/>
        <v>-154809</v>
      </c>
      <c r="AD31" s="19"/>
      <c r="AE31" s="2">
        <f t="shared" si="3"/>
        <v>0</v>
      </c>
    </row>
    <row r="32" spans="1:33">
      <c r="A32" s="2" t="s">
        <v>331</v>
      </c>
      <c r="B32" s="19"/>
      <c r="C32" s="19" t="s">
        <v>202</v>
      </c>
      <c r="E32" s="19">
        <v>51144</v>
      </c>
      <c r="G32" s="2">
        <v>11670877</v>
      </c>
      <c r="H32" s="2"/>
      <c r="I32" s="2">
        <v>0</v>
      </c>
      <c r="J32" s="2"/>
      <c r="K32" s="30">
        <f t="shared" si="0"/>
        <v>3409649</v>
      </c>
      <c r="L32" s="2"/>
      <c r="M32" s="2">
        <v>15080526</v>
      </c>
      <c r="N32" s="2"/>
      <c r="O32" s="30">
        <f t="shared" si="1"/>
        <v>772166</v>
      </c>
      <c r="P32" s="2"/>
      <c r="Q32" s="2">
        <v>2124785</v>
      </c>
      <c r="R32" s="2"/>
      <c r="S32" s="2">
        <v>2896951</v>
      </c>
      <c r="T32" s="2"/>
      <c r="U32" s="2"/>
      <c r="V32" s="2"/>
      <c r="W32" s="2">
        <v>1346565</v>
      </c>
      <c r="X32" s="2"/>
      <c r="Y32" s="2">
        <v>0</v>
      </c>
      <c r="Z32" s="2"/>
      <c r="AA32" s="2">
        <v>10837010</v>
      </c>
      <c r="AB32" s="2"/>
      <c r="AC32" s="31">
        <f t="shared" si="2"/>
        <v>12183575</v>
      </c>
      <c r="AD32" s="19"/>
      <c r="AE32" s="2">
        <f t="shared" si="3"/>
        <v>0</v>
      </c>
    </row>
    <row r="33" spans="1:33">
      <c r="A33" s="2" t="s">
        <v>278</v>
      </c>
      <c r="B33" s="19"/>
      <c r="C33" s="19" t="s">
        <v>205</v>
      </c>
      <c r="E33" s="19">
        <v>51185</v>
      </c>
      <c r="G33" s="2">
        <v>3080367</v>
      </c>
      <c r="H33" s="2"/>
      <c r="I33" s="2">
        <v>0</v>
      </c>
      <c r="J33" s="2"/>
      <c r="K33" s="30">
        <f t="shared" si="0"/>
        <v>2909434</v>
      </c>
      <c r="L33" s="2"/>
      <c r="M33" s="2">
        <v>5989801</v>
      </c>
      <c r="N33" s="2"/>
      <c r="O33" s="30">
        <f t="shared" si="1"/>
        <v>353201</v>
      </c>
      <c r="P33" s="2"/>
      <c r="Q33" s="2">
        <v>1557865</v>
      </c>
      <c r="R33" s="2"/>
      <c r="S33" s="2">
        <v>1911066</v>
      </c>
      <c r="T33" s="2"/>
      <c r="U33" s="2"/>
      <c r="V33" s="2"/>
      <c r="W33" s="2">
        <f>202759+222973</f>
        <v>425732</v>
      </c>
      <c r="X33" s="2"/>
      <c r="Y33" s="2">
        <v>0</v>
      </c>
      <c r="Z33" s="2"/>
      <c r="AA33" s="2">
        <v>3653003</v>
      </c>
      <c r="AB33" s="2"/>
      <c r="AC33" s="31">
        <f t="shared" si="2"/>
        <v>4078735</v>
      </c>
      <c r="AD33" s="19"/>
      <c r="AE33" s="2">
        <f t="shared" si="3"/>
        <v>0</v>
      </c>
    </row>
    <row r="34" spans="1:33" s="73" customFormat="1" hidden="1">
      <c r="A34" s="69" t="s">
        <v>362</v>
      </c>
      <c r="B34" s="71"/>
      <c r="C34" s="71" t="s">
        <v>207</v>
      </c>
      <c r="E34" s="71">
        <v>47977</v>
      </c>
      <c r="G34" s="69"/>
      <c r="H34" s="69"/>
      <c r="I34" s="69"/>
      <c r="J34" s="69"/>
      <c r="K34" s="76">
        <f t="shared" si="0"/>
        <v>0</v>
      </c>
      <c r="L34" s="69"/>
      <c r="M34" s="69"/>
      <c r="N34" s="69"/>
      <c r="O34" s="76">
        <f t="shared" si="1"/>
        <v>0</v>
      </c>
      <c r="P34" s="69"/>
      <c r="Q34" s="69"/>
      <c r="R34" s="69"/>
      <c r="S34" s="69"/>
      <c r="T34" s="69"/>
      <c r="U34" s="69"/>
      <c r="V34" s="69"/>
      <c r="W34" s="69"/>
      <c r="X34" s="69"/>
      <c r="Y34" s="69">
        <v>0</v>
      </c>
      <c r="Z34" s="69"/>
      <c r="AA34" s="69"/>
      <c r="AB34" s="69"/>
      <c r="AC34" s="77">
        <f t="shared" si="2"/>
        <v>0</v>
      </c>
      <c r="AD34" s="71"/>
      <c r="AE34" s="69">
        <f t="shared" si="3"/>
        <v>0</v>
      </c>
      <c r="AG34" s="93" t="s">
        <v>404</v>
      </c>
    </row>
    <row r="35" spans="1:33">
      <c r="A35" s="2" t="s">
        <v>280</v>
      </c>
      <c r="B35" s="19"/>
      <c r="C35" s="19" t="s">
        <v>154</v>
      </c>
      <c r="E35" s="19">
        <v>51227</v>
      </c>
      <c r="G35" s="2">
        <v>8128749</v>
      </c>
      <c r="H35" s="2"/>
      <c r="I35" s="2">
        <v>0</v>
      </c>
      <c r="J35" s="2"/>
      <c r="K35" s="30">
        <f t="shared" si="0"/>
        <v>12441110</v>
      </c>
      <c r="L35" s="2"/>
      <c r="M35" s="2">
        <v>20569859</v>
      </c>
      <c r="N35" s="2"/>
      <c r="O35" s="30">
        <f t="shared" si="1"/>
        <v>13794555</v>
      </c>
      <c r="P35" s="2"/>
      <c r="Q35" s="2">
        <v>0</v>
      </c>
      <c r="R35" s="2"/>
      <c r="S35" s="2">
        <v>13794555</v>
      </c>
      <c r="T35" s="2"/>
      <c r="U35" s="2"/>
      <c r="V35" s="2"/>
      <c r="W35" s="2">
        <f>803599+16000+232524</f>
        <v>1052123</v>
      </c>
      <c r="X35" s="2"/>
      <c r="Y35" s="2">
        <v>0</v>
      </c>
      <c r="Z35" s="2"/>
      <c r="AA35" s="2">
        <v>5723181</v>
      </c>
      <c r="AB35" s="2"/>
      <c r="AC35" s="31">
        <f t="shared" si="2"/>
        <v>6775304</v>
      </c>
      <c r="AD35" s="19"/>
      <c r="AE35" s="2">
        <f t="shared" si="3"/>
        <v>0</v>
      </c>
    </row>
    <row r="36" spans="1:33" s="96" customFormat="1">
      <c r="A36" s="2" t="s">
        <v>283</v>
      </c>
      <c r="B36" s="19"/>
      <c r="C36" s="19" t="s">
        <v>214</v>
      </c>
      <c r="E36" s="19">
        <v>51243</v>
      </c>
      <c r="G36" s="2">
        <v>5055383</v>
      </c>
      <c r="H36" s="2"/>
      <c r="I36" s="2">
        <v>750000</v>
      </c>
      <c r="J36" s="2"/>
      <c r="K36" s="30">
        <f t="shared" si="0"/>
        <v>19660390</v>
      </c>
      <c r="L36" s="2"/>
      <c r="M36" s="2">
        <v>25465773</v>
      </c>
      <c r="N36" s="2"/>
      <c r="O36" s="30">
        <f t="shared" si="1"/>
        <v>853593</v>
      </c>
      <c r="P36" s="2"/>
      <c r="Q36" s="2">
        <v>6704970</v>
      </c>
      <c r="R36" s="2"/>
      <c r="S36" s="2">
        <v>7558563</v>
      </c>
      <c r="T36" s="2"/>
      <c r="U36" s="2"/>
      <c r="V36" s="2"/>
      <c r="W36" s="2">
        <f>270198+750000+5134</f>
        <v>1025332</v>
      </c>
      <c r="X36" s="2"/>
      <c r="Y36" s="2">
        <v>0</v>
      </c>
      <c r="Z36" s="2"/>
      <c r="AA36" s="2">
        <v>16881878</v>
      </c>
      <c r="AB36" s="2"/>
      <c r="AC36" s="31">
        <f t="shared" si="2"/>
        <v>17907210</v>
      </c>
      <c r="AD36" s="19"/>
      <c r="AE36" s="2">
        <f t="shared" si="3"/>
        <v>0</v>
      </c>
    </row>
    <row r="37" spans="1:33" s="96" customFormat="1">
      <c r="A37" s="2" t="s">
        <v>332</v>
      </c>
      <c r="B37" s="19"/>
      <c r="C37" s="19" t="s">
        <v>230</v>
      </c>
      <c r="E37" s="19">
        <v>51391</v>
      </c>
      <c r="G37" s="2">
        <v>19102477</v>
      </c>
      <c r="H37" s="2"/>
      <c r="I37" s="2">
        <v>223362</v>
      </c>
      <c r="J37" s="2"/>
      <c r="K37" s="30">
        <f t="shared" si="0"/>
        <v>7157186</v>
      </c>
      <c r="L37" s="2"/>
      <c r="M37" s="2">
        <v>26483025</v>
      </c>
      <c r="N37" s="2"/>
      <c r="O37" s="30">
        <f t="shared" si="1"/>
        <v>912871</v>
      </c>
      <c r="P37" s="2"/>
      <c r="Q37" s="2">
        <v>6141130</v>
      </c>
      <c r="R37" s="2"/>
      <c r="S37" s="2">
        <v>7054001</v>
      </c>
      <c r="T37" s="2"/>
      <c r="U37" s="2"/>
      <c r="V37" s="2"/>
      <c r="W37" s="2">
        <f>741034+635198+223362</f>
        <v>1599594</v>
      </c>
      <c r="X37" s="2"/>
      <c r="Y37" s="2">
        <v>409021</v>
      </c>
      <c r="Z37" s="2"/>
      <c r="AA37" s="2">
        <v>17420409</v>
      </c>
      <c r="AB37" s="2"/>
      <c r="AC37" s="31">
        <f t="shared" si="2"/>
        <v>19429024</v>
      </c>
      <c r="AD37" s="19"/>
      <c r="AE37" s="2">
        <f t="shared" si="3"/>
        <v>0</v>
      </c>
    </row>
    <row r="38" spans="1:33" s="96" customFormat="1">
      <c r="A38" s="2" t="s">
        <v>286</v>
      </c>
      <c r="B38" s="19"/>
      <c r="C38" s="19" t="s">
        <v>216</v>
      </c>
      <c r="E38" s="19">
        <v>62109</v>
      </c>
      <c r="G38" s="2">
        <v>5973980</v>
      </c>
      <c r="H38" s="2"/>
      <c r="I38" s="2">
        <v>0</v>
      </c>
      <c r="J38" s="2"/>
      <c r="K38" s="30">
        <f t="shared" si="0"/>
        <v>7832903</v>
      </c>
      <c r="L38" s="2"/>
      <c r="M38" s="2">
        <v>13806883</v>
      </c>
      <c r="N38" s="2"/>
      <c r="O38" s="30">
        <f t="shared" si="1"/>
        <v>1545430</v>
      </c>
      <c r="P38" s="2"/>
      <c r="Q38" s="2">
        <v>6860560</v>
      </c>
      <c r="R38" s="2"/>
      <c r="S38" s="2">
        <v>8405990</v>
      </c>
      <c r="T38" s="2"/>
      <c r="U38" s="2"/>
      <c r="V38" s="2"/>
      <c r="W38" s="2">
        <f>609674+120419+627921</f>
        <v>1358014</v>
      </c>
      <c r="X38" s="2"/>
      <c r="Y38" s="2">
        <v>0</v>
      </c>
      <c r="Z38" s="2"/>
      <c r="AA38" s="2">
        <v>4042879</v>
      </c>
      <c r="AB38" s="2"/>
      <c r="AC38" s="31">
        <f t="shared" si="2"/>
        <v>5400893</v>
      </c>
      <c r="AD38" s="19"/>
      <c r="AE38" s="2">
        <f t="shared" si="3"/>
        <v>0</v>
      </c>
    </row>
    <row r="39" spans="1:33" s="96" customFormat="1">
      <c r="A39" s="2" t="s">
        <v>333</v>
      </c>
      <c r="B39" s="19"/>
      <c r="C39" s="19" t="s">
        <v>222</v>
      </c>
      <c r="E39" s="19">
        <v>51284</v>
      </c>
      <c r="G39" s="2">
        <v>4030037</v>
      </c>
      <c r="H39" s="2"/>
      <c r="I39" s="2">
        <v>73220</v>
      </c>
      <c r="J39" s="2"/>
      <c r="K39" s="30">
        <f t="shared" si="0"/>
        <v>12455799</v>
      </c>
      <c r="L39" s="2"/>
      <c r="M39" s="2">
        <v>16559056</v>
      </c>
      <c r="N39" s="2"/>
      <c r="O39" s="30">
        <f t="shared" si="1"/>
        <v>3431071</v>
      </c>
      <c r="P39" s="2"/>
      <c r="Q39" s="2">
        <v>11559798</v>
      </c>
      <c r="R39" s="2"/>
      <c r="S39" s="2">
        <v>14990869</v>
      </c>
      <c r="T39" s="2"/>
      <c r="U39" s="2"/>
      <c r="V39" s="2"/>
      <c r="W39" s="2">
        <f>1384186+840281+73220</f>
        <v>2297687</v>
      </c>
      <c r="X39" s="2"/>
      <c r="Y39" s="2">
        <v>0</v>
      </c>
      <c r="Z39" s="2"/>
      <c r="AA39" s="2">
        <v>-729500</v>
      </c>
      <c r="AB39" s="2"/>
      <c r="AC39" s="31">
        <f t="shared" si="2"/>
        <v>1568187</v>
      </c>
      <c r="AD39" s="19"/>
      <c r="AE39" s="2">
        <f t="shared" si="3"/>
        <v>0</v>
      </c>
    </row>
    <row r="40" spans="1:33" s="96" customFormat="1">
      <c r="A40" s="2" t="s">
        <v>334</v>
      </c>
      <c r="B40" s="19"/>
      <c r="C40" s="19" t="s">
        <v>224</v>
      </c>
      <c r="E40" s="19">
        <v>51300</v>
      </c>
      <c r="G40" s="2">
        <v>9543949</v>
      </c>
      <c r="H40" s="2"/>
      <c r="I40" s="2">
        <v>48544</v>
      </c>
      <c r="J40" s="2"/>
      <c r="K40" s="30">
        <f t="shared" si="0"/>
        <v>6448841</v>
      </c>
      <c r="L40" s="2"/>
      <c r="M40" s="2">
        <v>16041334</v>
      </c>
      <c r="N40" s="2"/>
      <c r="O40" s="30">
        <f t="shared" si="1"/>
        <v>1238206</v>
      </c>
      <c r="P40" s="2"/>
      <c r="Q40" s="2">
        <v>5672288</v>
      </c>
      <c r="R40" s="2"/>
      <c r="S40" s="2">
        <v>6910494</v>
      </c>
      <c r="T40" s="2"/>
      <c r="U40" s="2"/>
      <c r="V40" s="2"/>
      <c r="W40" s="2">
        <f>117456+2978+45566+521852</f>
        <v>687852</v>
      </c>
      <c r="X40" s="2"/>
      <c r="Y40" s="2">
        <v>128102</v>
      </c>
      <c r="Z40" s="2"/>
      <c r="AA40" s="2">
        <v>8314886</v>
      </c>
      <c r="AB40" s="2"/>
      <c r="AC40" s="31">
        <f t="shared" si="2"/>
        <v>9130840</v>
      </c>
      <c r="AD40" s="19"/>
      <c r="AE40" s="2">
        <f t="shared" si="3"/>
        <v>0</v>
      </c>
    </row>
    <row r="41" spans="1:33" hidden="1">
      <c r="A41" s="13" t="s">
        <v>279</v>
      </c>
      <c r="B41" s="19"/>
      <c r="C41" s="19" t="s">
        <v>209</v>
      </c>
      <c r="E41" s="19">
        <v>51334</v>
      </c>
      <c r="G41" s="2"/>
      <c r="H41" s="2"/>
      <c r="I41" s="2"/>
      <c r="J41" s="2"/>
      <c r="K41" s="30">
        <f t="shared" si="0"/>
        <v>0</v>
      </c>
      <c r="L41" s="2"/>
      <c r="M41" s="2"/>
      <c r="N41" s="2"/>
      <c r="O41" s="30">
        <f t="shared" si="1"/>
        <v>0</v>
      </c>
      <c r="P41" s="2"/>
      <c r="Q41" s="2"/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31">
        <f t="shared" si="2"/>
        <v>0</v>
      </c>
      <c r="AD41" s="19"/>
      <c r="AE41" s="2">
        <f t="shared" si="3"/>
        <v>0</v>
      </c>
    </row>
    <row r="42" spans="1:33" s="96" customFormat="1">
      <c r="A42" s="13" t="s">
        <v>335</v>
      </c>
      <c r="B42" s="19"/>
      <c r="C42" s="19" t="s">
        <v>264</v>
      </c>
      <c r="E42" s="19">
        <v>51359</v>
      </c>
      <c r="G42" s="2">
        <v>6137455</v>
      </c>
      <c r="H42" s="2"/>
      <c r="I42" s="2">
        <v>0</v>
      </c>
      <c r="J42" s="2"/>
      <c r="K42" s="30">
        <f t="shared" si="0"/>
        <v>10829486</v>
      </c>
      <c r="L42" s="2"/>
      <c r="M42" s="2">
        <v>16966941</v>
      </c>
      <c r="N42" s="2"/>
      <c r="O42" s="30">
        <f t="shared" si="1"/>
        <v>12675858</v>
      </c>
      <c r="P42" s="2"/>
      <c r="Q42" s="2">
        <v>364537</v>
      </c>
      <c r="R42" s="2"/>
      <c r="S42" s="2">
        <v>13040395</v>
      </c>
      <c r="T42" s="2"/>
      <c r="U42" s="2"/>
      <c r="V42" s="2"/>
      <c r="W42" s="2">
        <f>482783+64030+994178</f>
        <v>1540991</v>
      </c>
      <c r="X42" s="2"/>
      <c r="Y42" s="2">
        <v>0</v>
      </c>
      <c r="Z42" s="2"/>
      <c r="AA42" s="2">
        <v>2385555</v>
      </c>
      <c r="AB42" s="2"/>
      <c r="AC42" s="31">
        <f t="shared" si="2"/>
        <v>3926546</v>
      </c>
      <c r="AD42" s="19"/>
      <c r="AE42" s="2">
        <f t="shared" si="3"/>
        <v>0</v>
      </c>
    </row>
    <row r="43" spans="1:33" s="96" customFormat="1">
      <c r="A43" s="2" t="s">
        <v>336</v>
      </c>
      <c r="B43" s="19"/>
      <c r="C43" s="19" t="s">
        <v>238</v>
      </c>
      <c r="E43" s="19">
        <v>51433</v>
      </c>
      <c r="G43" s="2">
        <v>5352814</v>
      </c>
      <c r="H43" s="2"/>
      <c r="I43" s="2">
        <v>0</v>
      </c>
      <c r="J43" s="2"/>
      <c r="K43" s="30">
        <f t="shared" si="0"/>
        <v>4957750</v>
      </c>
      <c r="L43" s="2"/>
      <c r="M43" s="2">
        <v>10310564</v>
      </c>
      <c r="N43" s="2"/>
      <c r="O43" s="30">
        <f t="shared" si="1"/>
        <v>1567913</v>
      </c>
      <c r="P43" s="2"/>
      <c r="Q43" s="2">
        <v>4352325</v>
      </c>
      <c r="R43" s="2"/>
      <c r="S43" s="2">
        <v>5920238</v>
      </c>
      <c r="T43" s="2"/>
      <c r="U43" s="2"/>
      <c r="V43" s="2"/>
      <c r="W43" s="2">
        <f>217184+447387</f>
        <v>664571</v>
      </c>
      <c r="X43" s="2"/>
      <c r="Y43" s="2">
        <v>0</v>
      </c>
      <c r="Z43" s="2"/>
      <c r="AA43" s="2">
        <v>3725755</v>
      </c>
      <c r="AB43" s="2"/>
      <c r="AC43" s="31">
        <f t="shared" si="2"/>
        <v>4390326</v>
      </c>
      <c r="AD43" s="19"/>
      <c r="AE43" s="2">
        <f t="shared" si="3"/>
        <v>0</v>
      </c>
    </row>
    <row r="44" spans="1:33" s="96" customFormat="1">
      <c r="A44" s="2" t="s">
        <v>337</v>
      </c>
      <c r="B44" s="19"/>
      <c r="C44" s="19" t="s">
        <v>288</v>
      </c>
      <c r="E44" s="19">
        <v>51375</v>
      </c>
      <c r="G44" s="2">
        <v>4721453</v>
      </c>
      <c r="H44" s="2"/>
      <c r="I44" s="2">
        <f>23547</f>
        <v>23547</v>
      </c>
      <c r="J44" s="2"/>
      <c r="K44" s="30">
        <f t="shared" si="0"/>
        <v>1534065</v>
      </c>
      <c r="L44" s="2"/>
      <c r="M44" s="2">
        <v>6279065</v>
      </c>
      <c r="N44" s="2"/>
      <c r="O44" s="30">
        <f t="shared" si="1"/>
        <v>471349</v>
      </c>
      <c r="P44" s="2"/>
      <c r="Q44" s="2">
        <v>982186</v>
      </c>
      <c r="R44" s="2"/>
      <c r="S44" s="2">
        <v>1453535</v>
      </c>
      <c r="T44" s="2"/>
      <c r="U44" s="2"/>
      <c r="V44" s="2"/>
      <c r="W44" s="2">
        <f>45384+71716+23547</f>
        <v>140647</v>
      </c>
      <c r="X44" s="2"/>
      <c r="Y44" s="2">
        <v>0</v>
      </c>
      <c r="Z44" s="2"/>
      <c r="AA44" s="2">
        <v>4684883</v>
      </c>
      <c r="AB44" s="2"/>
      <c r="AC44" s="31">
        <f t="shared" si="2"/>
        <v>4825530</v>
      </c>
      <c r="AD44" s="19"/>
      <c r="AE44" s="2">
        <f t="shared" si="3"/>
        <v>0</v>
      </c>
    </row>
    <row r="45" spans="1:33" s="96" customFormat="1">
      <c r="A45" s="2" t="s">
        <v>338</v>
      </c>
      <c r="B45" s="19"/>
      <c r="C45" s="19" t="s">
        <v>236</v>
      </c>
      <c r="E45" s="19">
        <v>51417</v>
      </c>
      <c r="G45" s="2">
        <v>10710020</v>
      </c>
      <c r="H45" s="2"/>
      <c r="I45" s="2">
        <v>65263</v>
      </c>
      <c r="J45" s="2"/>
      <c r="K45" s="30">
        <f t="shared" si="0"/>
        <v>5385206</v>
      </c>
      <c r="L45" s="2"/>
      <c r="M45" s="2">
        <v>16160489</v>
      </c>
      <c r="N45" s="2"/>
      <c r="O45" s="30">
        <f t="shared" si="1"/>
        <v>1434681</v>
      </c>
      <c r="P45" s="2"/>
      <c r="Q45" s="2">
        <f>436851+3629232</f>
        <v>4066083</v>
      </c>
      <c r="R45" s="2"/>
      <c r="S45" s="2">
        <v>5500764</v>
      </c>
      <c r="T45" s="2"/>
      <c r="U45" s="2"/>
      <c r="V45" s="2"/>
      <c r="W45" s="2">
        <f>224278+70747+35013+1093653+65263</f>
        <v>1488954</v>
      </c>
      <c r="X45" s="2"/>
      <c r="Y45" s="2">
        <v>174374</v>
      </c>
      <c r="Z45" s="2"/>
      <c r="AA45" s="2">
        <v>8996397</v>
      </c>
      <c r="AB45" s="2"/>
      <c r="AC45" s="31">
        <f t="shared" si="2"/>
        <v>10659725</v>
      </c>
      <c r="AD45" s="19"/>
      <c r="AE45" s="2">
        <f t="shared" si="3"/>
        <v>0</v>
      </c>
    </row>
    <row r="46" spans="1:33" s="96" customFormat="1">
      <c r="A46" s="2" t="s">
        <v>339</v>
      </c>
      <c r="B46" s="19"/>
      <c r="C46" s="19" t="s">
        <v>177</v>
      </c>
      <c r="E46" s="19">
        <v>50948</v>
      </c>
      <c r="G46" s="2">
        <v>9339764</v>
      </c>
      <c r="H46" s="2"/>
      <c r="I46" s="2">
        <v>241244</v>
      </c>
      <c r="J46" s="2"/>
      <c r="K46" s="30">
        <f t="shared" si="0"/>
        <v>9583002</v>
      </c>
      <c r="L46" s="2"/>
      <c r="M46" s="2">
        <v>19164010</v>
      </c>
      <c r="N46" s="2"/>
      <c r="O46" s="30">
        <f t="shared" si="1"/>
        <v>1392121</v>
      </c>
      <c r="P46" s="2"/>
      <c r="Q46" s="2">
        <v>8126843</v>
      </c>
      <c r="R46" s="2"/>
      <c r="S46" s="2">
        <v>9518964</v>
      </c>
      <c r="T46" s="2"/>
      <c r="U46" s="2"/>
      <c r="V46" s="2"/>
      <c r="W46" s="2">
        <f>161016+42280+1354828+241244</f>
        <v>1799368</v>
      </c>
      <c r="X46" s="2"/>
      <c r="Y46" s="2">
        <v>0</v>
      </c>
      <c r="Z46" s="2"/>
      <c r="AA46" s="2">
        <v>7845678</v>
      </c>
      <c r="AB46" s="2"/>
      <c r="AC46" s="31">
        <f t="shared" si="2"/>
        <v>9645046</v>
      </c>
      <c r="AD46" s="19"/>
      <c r="AE46" s="2">
        <f t="shared" si="3"/>
        <v>0</v>
      </c>
      <c r="AG46" s="13" t="s">
        <v>401</v>
      </c>
    </row>
    <row r="47" spans="1:33" s="96" customFormat="1">
      <c r="A47" s="2" t="s">
        <v>340</v>
      </c>
      <c r="B47" s="19"/>
      <c r="C47" s="19" t="s">
        <v>250</v>
      </c>
      <c r="E47" s="19">
        <v>63495</v>
      </c>
      <c r="G47" s="2">
        <v>10297127</v>
      </c>
      <c r="H47" s="2"/>
      <c r="I47" s="2">
        <v>0</v>
      </c>
      <c r="J47" s="2"/>
      <c r="K47" s="30">
        <f t="shared" si="0"/>
        <v>3091381</v>
      </c>
      <c r="L47" s="2"/>
      <c r="M47" s="2">
        <v>13388508</v>
      </c>
      <c r="N47" s="2"/>
      <c r="O47" s="30">
        <f t="shared" si="1"/>
        <v>882277</v>
      </c>
      <c r="P47" s="2"/>
      <c r="Q47" s="2">
        <v>2730068</v>
      </c>
      <c r="R47" s="2"/>
      <c r="S47" s="2">
        <v>3612345</v>
      </c>
      <c r="T47" s="2"/>
      <c r="U47" s="2"/>
      <c r="V47" s="2"/>
      <c r="W47" s="2">
        <f>237144+321844+38707</f>
        <v>597695</v>
      </c>
      <c r="X47" s="2"/>
      <c r="Y47" s="2">
        <v>146413</v>
      </c>
      <c r="Z47" s="2"/>
      <c r="AA47" s="2">
        <v>9032055</v>
      </c>
      <c r="AB47" s="2"/>
      <c r="AC47" s="31">
        <f t="shared" si="2"/>
        <v>9776163</v>
      </c>
      <c r="AD47" s="19"/>
      <c r="AE47" s="2">
        <f t="shared" si="3"/>
        <v>0</v>
      </c>
    </row>
    <row r="48" spans="1:33" s="96" customFormat="1">
      <c r="A48" s="2" t="s">
        <v>341</v>
      </c>
      <c r="B48" s="19"/>
      <c r="C48" s="19" t="s">
        <v>242</v>
      </c>
      <c r="E48" s="19">
        <v>51490</v>
      </c>
      <c r="G48" s="2">
        <v>3192855</v>
      </c>
      <c r="H48" s="2"/>
      <c r="I48" s="2">
        <v>0</v>
      </c>
      <c r="J48" s="2"/>
      <c r="K48" s="30">
        <f t="shared" si="0"/>
        <v>2464621</v>
      </c>
      <c r="L48" s="2"/>
      <c r="M48" s="2">
        <v>5657476</v>
      </c>
      <c r="N48" s="2"/>
      <c r="O48" s="30">
        <f t="shared" si="1"/>
        <v>866291</v>
      </c>
      <c r="P48" s="2"/>
      <c r="Q48" s="2">
        <v>2260569</v>
      </c>
      <c r="R48" s="2"/>
      <c r="S48" s="2">
        <v>3126860</v>
      </c>
      <c r="T48" s="2"/>
      <c r="U48" s="2"/>
      <c r="V48" s="2"/>
      <c r="W48" s="2">
        <f>33869+144309</f>
        <v>178178</v>
      </c>
      <c r="X48" s="2"/>
      <c r="Y48" s="2">
        <v>0</v>
      </c>
      <c r="Z48" s="2"/>
      <c r="AA48" s="2">
        <v>2352438</v>
      </c>
      <c r="AB48" s="2"/>
      <c r="AC48" s="31">
        <f t="shared" si="2"/>
        <v>2530616</v>
      </c>
      <c r="AD48" s="19"/>
      <c r="AE48" s="2">
        <f t="shared" si="3"/>
        <v>0</v>
      </c>
    </row>
    <row r="49" spans="1:33" s="96" customFormat="1">
      <c r="A49" s="2" t="s">
        <v>268</v>
      </c>
      <c r="B49" s="19"/>
      <c r="C49" s="19" t="s">
        <v>164</v>
      </c>
      <c r="E49" s="19">
        <v>50799</v>
      </c>
      <c r="G49" s="2">
        <v>3039525</v>
      </c>
      <c r="H49" s="2"/>
      <c r="I49" s="2">
        <v>20297</v>
      </c>
      <c r="J49" s="2"/>
      <c r="K49" s="30">
        <f t="shared" si="0"/>
        <v>2033989</v>
      </c>
      <c r="L49" s="2"/>
      <c r="M49" s="2">
        <v>5093811</v>
      </c>
      <c r="N49" s="2"/>
      <c r="O49" s="30">
        <f t="shared" si="1"/>
        <v>519922</v>
      </c>
      <c r="P49" s="2"/>
      <c r="Q49" s="2">
        <v>1417734</v>
      </c>
      <c r="R49" s="2"/>
      <c r="S49" s="2">
        <v>1937656</v>
      </c>
      <c r="T49" s="2"/>
      <c r="U49" s="2"/>
      <c r="V49" s="2"/>
      <c r="W49" s="2">
        <f>19681+260000+307542+20297</f>
        <v>607520</v>
      </c>
      <c r="X49" s="2"/>
      <c r="Y49" s="2">
        <v>0</v>
      </c>
      <c r="Z49" s="2"/>
      <c r="AA49" s="2">
        <v>2548635</v>
      </c>
      <c r="AB49" s="2"/>
      <c r="AC49" s="31">
        <f t="shared" si="2"/>
        <v>3156155</v>
      </c>
      <c r="AD49" s="19"/>
      <c r="AE49" s="2">
        <f t="shared" si="3"/>
        <v>0</v>
      </c>
    </row>
    <row r="50" spans="1:33" s="96" customFormat="1">
      <c r="A50" s="13" t="s">
        <v>387</v>
      </c>
      <c r="B50" s="19"/>
      <c r="C50" s="19" t="s">
        <v>169</v>
      </c>
      <c r="E50" s="19">
        <v>51532</v>
      </c>
      <c r="G50" s="2">
        <v>5590877</v>
      </c>
      <c r="H50" s="2"/>
      <c r="I50" s="2">
        <v>0</v>
      </c>
      <c r="J50" s="2"/>
      <c r="K50" s="30">
        <f t="shared" si="0"/>
        <v>4766289</v>
      </c>
      <c r="L50" s="2"/>
      <c r="M50" s="2">
        <v>10357166</v>
      </c>
      <c r="N50" s="2"/>
      <c r="O50" s="30">
        <f t="shared" si="1"/>
        <v>892252</v>
      </c>
      <c r="P50" s="2"/>
      <c r="Q50" s="2">
        <v>3633862</v>
      </c>
      <c r="R50" s="2"/>
      <c r="S50" s="2">
        <v>4526114</v>
      </c>
      <c r="T50" s="2"/>
      <c r="U50" s="2"/>
      <c r="V50" s="2"/>
      <c r="W50" s="2">
        <f>258467+88133+906002</f>
        <v>1252602</v>
      </c>
      <c r="X50" s="2"/>
      <c r="Y50" s="2">
        <v>0</v>
      </c>
      <c r="Z50" s="2"/>
      <c r="AA50" s="2">
        <v>4578450</v>
      </c>
      <c r="AB50" s="2"/>
      <c r="AC50" s="31">
        <f t="shared" si="2"/>
        <v>5831052</v>
      </c>
      <c r="AD50" s="19"/>
      <c r="AE50" s="2">
        <f t="shared" si="3"/>
        <v>0</v>
      </c>
    </row>
    <row r="51" spans="1:33" s="96" customFormat="1">
      <c r="A51" s="13" t="s">
        <v>289</v>
      </c>
      <c r="B51" s="19"/>
      <c r="C51" s="19" t="s">
        <v>248</v>
      </c>
      <c r="E51" s="19">
        <v>62026</v>
      </c>
      <c r="G51" s="2">
        <v>9880408</v>
      </c>
      <c r="H51" s="2"/>
      <c r="I51" s="2">
        <v>0</v>
      </c>
      <c r="J51" s="2"/>
      <c r="K51" s="30">
        <f t="shared" si="0"/>
        <v>2662089</v>
      </c>
      <c r="L51" s="2"/>
      <c r="M51" s="2">
        <v>12542497</v>
      </c>
      <c r="N51" s="2"/>
      <c r="O51" s="30">
        <f t="shared" si="1"/>
        <v>719231</v>
      </c>
      <c r="P51" s="2"/>
      <c r="Q51" s="2">
        <f>182196+2224067</f>
        <v>2406263</v>
      </c>
      <c r="R51" s="2"/>
      <c r="S51" s="2">
        <v>3125494</v>
      </c>
      <c r="T51" s="2"/>
      <c r="U51" s="2"/>
      <c r="V51" s="2"/>
      <c r="W51" s="2">
        <f>315008+5554+207860+500</f>
        <v>528922</v>
      </c>
      <c r="X51" s="2"/>
      <c r="Y51" s="2">
        <v>0</v>
      </c>
      <c r="Z51" s="2"/>
      <c r="AA51" s="2">
        <v>8888081</v>
      </c>
      <c r="AB51" s="2"/>
      <c r="AC51" s="31">
        <f t="shared" si="2"/>
        <v>9417003</v>
      </c>
      <c r="AD51" s="19"/>
      <c r="AE51" s="2">
        <f t="shared" si="3"/>
        <v>0</v>
      </c>
    </row>
    <row r="52" spans="1:33" s="96" customFormat="1">
      <c r="A52" s="13" t="s">
        <v>398</v>
      </c>
      <c r="B52" s="19"/>
      <c r="C52" s="19" t="s">
        <v>282</v>
      </c>
      <c r="E52" s="19"/>
      <c r="G52" s="2">
        <v>6159326</v>
      </c>
      <c r="H52" s="2"/>
      <c r="I52" s="2">
        <v>0</v>
      </c>
      <c r="J52" s="2"/>
      <c r="K52" s="30">
        <f t="shared" si="0"/>
        <v>8092741</v>
      </c>
      <c r="L52" s="2"/>
      <c r="M52" s="2">
        <v>14252067</v>
      </c>
      <c r="N52" s="2"/>
      <c r="O52" s="30">
        <f t="shared" si="1"/>
        <v>954856</v>
      </c>
      <c r="P52" s="2"/>
      <c r="Q52" s="2">
        <v>5173278</v>
      </c>
      <c r="R52" s="2"/>
      <c r="S52" s="2">
        <v>6128134</v>
      </c>
      <c r="T52" s="2"/>
      <c r="U52" s="2"/>
      <c r="V52" s="2"/>
      <c r="W52" s="2">
        <f>147495+32818+2735769</f>
        <v>2916082</v>
      </c>
      <c r="X52" s="2"/>
      <c r="Y52" s="2">
        <v>0</v>
      </c>
      <c r="Z52" s="2"/>
      <c r="AA52" s="2">
        <v>5207851</v>
      </c>
      <c r="AB52" s="2"/>
      <c r="AC52" s="31">
        <f t="shared" si="2"/>
        <v>8123933</v>
      </c>
      <c r="AD52" s="19"/>
      <c r="AE52" s="2">
        <f t="shared" si="3"/>
        <v>0</v>
      </c>
      <c r="AG52" s="2" t="s">
        <v>402</v>
      </c>
    </row>
    <row r="53" spans="1:33" s="96" customFormat="1">
      <c r="A53" s="13" t="s">
        <v>423</v>
      </c>
      <c r="B53" s="19"/>
      <c r="C53" s="19" t="s">
        <v>157</v>
      </c>
      <c r="E53" s="19">
        <v>51607</v>
      </c>
      <c r="G53" s="2">
        <v>2397049</v>
      </c>
      <c r="H53" s="2"/>
      <c r="I53" s="2">
        <v>0</v>
      </c>
      <c r="J53" s="2"/>
      <c r="K53" s="30">
        <f t="shared" si="0"/>
        <v>3037374</v>
      </c>
      <c r="L53" s="2"/>
      <c r="M53" s="2">
        <v>5434423</v>
      </c>
      <c r="N53" s="2"/>
      <c r="O53" s="30">
        <f t="shared" si="1"/>
        <v>608335</v>
      </c>
      <c r="P53" s="2"/>
      <c r="Q53" s="2">
        <v>2629399</v>
      </c>
      <c r="R53" s="2"/>
      <c r="S53" s="2">
        <v>3237734</v>
      </c>
      <c r="T53" s="2"/>
      <c r="U53" s="2"/>
      <c r="V53" s="2"/>
      <c r="W53" s="2">
        <f>343804+294452+39272</f>
        <v>677528</v>
      </c>
      <c r="X53" s="2"/>
      <c r="Y53" s="2">
        <v>0</v>
      </c>
      <c r="Z53" s="2"/>
      <c r="AA53" s="2">
        <v>1519161</v>
      </c>
      <c r="AB53" s="2"/>
      <c r="AC53" s="31">
        <f t="shared" si="2"/>
        <v>2196689</v>
      </c>
      <c r="AD53" s="19"/>
      <c r="AE53" s="2">
        <f t="shared" si="3"/>
        <v>0</v>
      </c>
    </row>
    <row r="54" spans="1:33" s="96" customFormat="1">
      <c r="A54" s="13" t="s">
        <v>284</v>
      </c>
      <c r="B54" s="19"/>
      <c r="C54" s="19" t="s">
        <v>285</v>
      </c>
      <c r="E54" s="19">
        <v>65268</v>
      </c>
      <c r="G54" s="2">
        <v>1422929</v>
      </c>
      <c r="H54" s="2"/>
      <c r="I54" s="2">
        <v>0</v>
      </c>
      <c r="J54" s="2"/>
      <c r="K54" s="30">
        <f t="shared" si="0"/>
        <v>3822965</v>
      </c>
      <c r="L54" s="2"/>
      <c r="M54" s="2">
        <v>5245894</v>
      </c>
      <c r="N54" s="2"/>
      <c r="O54" s="30">
        <f t="shared" si="1"/>
        <v>900609</v>
      </c>
      <c r="P54" s="2"/>
      <c r="Q54" s="2">
        <v>2439981</v>
      </c>
      <c r="R54" s="2"/>
      <c r="S54" s="2">
        <v>3340590</v>
      </c>
      <c r="T54" s="2"/>
      <c r="U54" s="2"/>
      <c r="V54" s="2"/>
      <c r="W54" s="2">
        <f>1048406+218168</f>
        <v>1266574</v>
      </c>
      <c r="X54" s="2"/>
      <c r="Y54" s="2">
        <v>0</v>
      </c>
      <c r="Z54" s="2"/>
      <c r="AA54" s="2">
        <v>638730</v>
      </c>
      <c r="AB54" s="2"/>
      <c r="AC54" s="31">
        <f t="shared" si="2"/>
        <v>1905304</v>
      </c>
      <c r="AD54" s="19"/>
      <c r="AE54" s="2">
        <f t="shared" si="3"/>
        <v>0</v>
      </c>
    </row>
    <row r="55" spans="1:33" s="96" customFormat="1">
      <c r="A55" s="13" t="s">
        <v>342</v>
      </c>
      <c r="B55" s="19"/>
      <c r="C55" s="19" t="s">
        <v>252</v>
      </c>
      <c r="E55" s="19">
        <v>51631</v>
      </c>
      <c r="G55" s="2">
        <v>9872204</v>
      </c>
      <c r="H55" s="2"/>
      <c r="I55" s="2">
        <v>0</v>
      </c>
      <c r="J55" s="2"/>
      <c r="K55" s="30">
        <f t="shared" si="0"/>
        <v>7053944</v>
      </c>
      <c r="L55" s="2"/>
      <c r="M55" s="2">
        <v>16926148</v>
      </c>
      <c r="N55" s="2"/>
      <c r="O55" s="30">
        <f t="shared" si="1"/>
        <v>1060136</v>
      </c>
      <c r="P55" s="2"/>
      <c r="Q55" s="2">
        <f>1363520+5324849</f>
        <v>6688369</v>
      </c>
      <c r="R55" s="2"/>
      <c r="S55" s="2">
        <v>7748505</v>
      </c>
      <c r="T55" s="2"/>
      <c r="U55" s="2"/>
      <c r="V55" s="2"/>
      <c r="W55" s="2">
        <f>58323+32992+24402</f>
        <v>115717</v>
      </c>
      <c r="X55" s="2"/>
      <c r="Y55" s="2">
        <v>0</v>
      </c>
      <c r="Z55" s="2"/>
      <c r="AA55" s="2">
        <v>9061926</v>
      </c>
      <c r="AB55" s="2"/>
      <c r="AC55" s="31">
        <f t="shared" si="2"/>
        <v>9177643</v>
      </c>
      <c r="AD55" s="19"/>
      <c r="AE55" s="2">
        <f t="shared" si="3"/>
        <v>0</v>
      </c>
    </row>
    <row r="56" spans="1:33" s="96" customFormat="1">
      <c r="A56" s="13" t="s">
        <v>270</v>
      </c>
      <c r="B56" s="19"/>
      <c r="C56" s="19" t="s">
        <v>171</v>
      </c>
      <c r="E56" s="19">
        <v>62802</v>
      </c>
      <c r="G56" s="2">
        <v>7163983</v>
      </c>
      <c r="H56" s="2"/>
      <c r="I56" s="2">
        <v>24056</v>
      </c>
      <c r="J56" s="2"/>
      <c r="K56" s="30">
        <f t="shared" si="0"/>
        <v>3338685</v>
      </c>
      <c r="L56" s="2"/>
      <c r="M56" s="2">
        <v>10526724</v>
      </c>
      <c r="N56" s="2"/>
      <c r="O56" s="30">
        <f t="shared" si="1"/>
        <v>581906</v>
      </c>
      <c r="P56" s="2"/>
      <c r="Q56" s="2">
        <v>3210485</v>
      </c>
      <c r="R56" s="2"/>
      <c r="S56" s="2">
        <v>3792391</v>
      </c>
      <c r="T56" s="2"/>
      <c r="U56" s="2"/>
      <c r="V56" s="2"/>
      <c r="W56" s="2">
        <f>173947+128200+24056</f>
        <v>326203</v>
      </c>
      <c r="X56" s="2"/>
      <c r="Y56" s="2">
        <v>0</v>
      </c>
      <c r="Z56" s="2"/>
      <c r="AA56" s="2">
        <v>6408130</v>
      </c>
      <c r="AB56" s="2"/>
      <c r="AC56" s="31">
        <f t="shared" si="2"/>
        <v>6734333</v>
      </c>
      <c r="AD56" s="19"/>
      <c r="AE56" s="2">
        <f t="shared" si="3"/>
        <v>0</v>
      </c>
    </row>
    <row r="57" spans="1:33" s="96" customFormat="1">
      <c r="A57" s="13" t="s">
        <v>287</v>
      </c>
      <c r="B57" s="19"/>
      <c r="C57" s="19" t="s">
        <v>220</v>
      </c>
      <c r="E57" s="19">
        <v>62125</v>
      </c>
      <c r="G57" s="2">
        <v>6695234</v>
      </c>
      <c r="H57" s="2"/>
      <c r="I57" s="2">
        <v>10635</v>
      </c>
      <c r="J57" s="2"/>
      <c r="K57" s="30">
        <f t="shared" si="0"/>
        <v>5746047</v>
      </c>
      <c r="L57" s="2"/>
      <c r="M57" s="2">
        <v>12451916</v>
      </c>
      <c r="N57" s="2"/>
      <c r="O57" s="30">
        <f t="shared" si="1"/>
        <v>1633877</v>
      </c>
      <c r="P57" s="2"/>
      <c r="Q57" s="2">
        <v>5234201</v>
      </c>
      <c r="R57" s="2"/>
      <c r="S57" s="2">
        <v>6868078</v>
      </c>
      <c r="T57" s="2"/>
      <c r="U57" s="2"/>
      <c r="V57" s="2"/>
      <c r="W57" s="2">
        <f>521679+304441+9995+640+157659</f>
        <v>994414</v>
      </c>
      <c r="X57" s="2"/>
      <c r="Y57" s="2">
        <v>0</v>
      </c>
      <c r="Z57" s="2"/>
      <c r="AA57" s="2">
        <v>4589424</v>
      </c>
      <c r="AB57" s="2"/>
      <c r="AC57" s="31">
        <f t="shared" si="2"/>
        <v>5583838</v>
      </c>
      <c r="AD57" s="19"/>
      <c r="AE57" s="2">
        <f t="shared" si="3"/>
        <v>0</v>
      </c>
    </row>
    <row r="58" spans="1:33" s="96" customFormat="1">
      <c r="A58" s="13" t="s">
        <v>343</v>
      </c>
      <c r="B58" s="19"/>
      <c r="C58" s="19" t="s">
        <v>240</v>
      </c>
      <c r="E58" s="19">
        <v>51458</v>
      </c>
      <c r="G58" s="2">
        <v>5067730</v>
      </c>
      <c r="H58" s="2"/>
      <c r="I58" s="2">
        <v>55852</v>
      </c>
      <c r="J58" s="2"/>
      <c r="K58" s="30">
        <f t="shared" si="0"/>
        <v>4545613</v>
      </c>
      <c r="L58" s="2"/>
      <c r="M58" s="2">
        <v>9669195</v>
      </c>
      <c r="N58" s="2"/>
      <c r="O58" s="30">
        <f t="shared" si="1"/>
        <v>1249090</v>
      </c>
      <c r="P58" s="2"/>
      <c r="Q58" s="2">
        <v>3482084</v>
      </c>
      <c r="R58" s="2"/>
      <c r="S58" s="2">
        <v>4731174</v>
      </c>
      <c r="T58" s="2"/>
      <c r="U58" s="2"/>
      <c r="V58" s="2"/>
      <c r="W58" s="2">
        <f>224060+512800+55852</f>
        <v>792712</v>
      </c>
      <c r="X58" s="2"/>
      <c r="Y58" s="2">
        <v>560058</v>
      </c>
      <c r="Z58" s="2"/>
      <c r="AA58" s="2">
        <v>3585251</v>
      </c>
      <c r="AB58" s="2"/>
      <c r="AC58" s="31">
        <f t="shared" si="2"/>
        <v>4938021</v>
      </c>
      <c r="AD58" s="19"/>
      <c r="AE58" s="2">
        <f t="shared" si="3"/>
        <v>0</v>
      </c>
    </row>
    <row r="59" spans="1:33" s="96" customFormat="1">
      <c r="A59" s="13" t="s">
        <v>344</v>
      </c>
      <c r="B59" s="19"/>
      <c r="C59" s="19" t="s">
        <v>256</v>
      </c>
      <c r="E59" s="19">
        <v>51672</v>
      </c>
      <c r="G59" s="2">
        <v>2666251</v>
      </c>
      <c r="H59" s="2"/>
      <c r="I59" s="2">
        <v>0</v>
      </c>
      <c r="J59" s="2"/>
      <c r="K59" s="30">
        <f t="shared" si="0"/>
        <v>3178830</v>
      </c>
      <c r="L59" s="2"/>
      <c r="M59" s="2">
        <v>5845081</v>
      </c>
      <c r="N59" s="2"/>
      <c r="O59" s="30">
        <f t="shared" si="1"/>
        <v>801132</v>
      </c>
      <c r="P59" s="2"/>
      <c r="Q59" s="2">
        <f>194783+2625133</f>
        <v>2819916</v>
      </c>
      <c r="R59" s="2"/>
      <c r="S59" s="2">
        <v>3621048</v>
      </c>
      <c r="T59" s="2"/>
      <c r="U59" s="2"/>
      <c r="V59" s="2"/>
      <c r="W59" s="2">
        <f>60393+40263+194470</f>
        <v>295126</v>
      </c>
      <c r="X59" s="2"/>
      <c r="Y59" s="2">
        <v>0</v>
      </c>
      <c r="Z59" s="2"/>
      <c r="AA59" s="2">
        <v>1928907</v>
      </c>
      <c r="AB59" s="2"/>
      <c r="AC59" s="31">
        <f t="shared" si="2"/>
        <v>2224033</v>
      </c>
      <c r="AD59" s="19"/>
      <c r="AE59" s="2">
        <f t="shared" si="3"/>
        <v>0</v>
      </c>
    </row>
    <row r="60" spans="1:33" s="96" customFormat="1">
      <c r="A60" s="13" t="s">
        <v>291</v>
      </c>
      <c r="B60" s="19"/>
      <c r="C60" s="19" t="s">
        <v>258</v>
      </c>
      <c r="E60" s="19">
        <v>51474</v>
      </c>
      <c r="G60" s="2">
        <v>9279683</v>
      </c>
      <c r="H60" s="2"/>
      <c r="I60" s="2">
        <v>0</v>
      </c>
      <c r="J60" s="2"/>
      <c r="K60" s="30">
        <f t="shared" si="0"/>
        <v>8796405</v>
      </c>
      <c r="L60" s="2"/>
      <c r="M60" s="2">
        <v>18076088</v>
      </c>
      <c r="N60" s="2"/>
      <c r="O60" s="30">
        <f t="shared" si="1"/>
        <v>958950</v>
      </c>
      <c r="P60" s="2"/>
      <c r="Q60" s="2">
        <v>7974190</v>
      </c>
      <c r="R60" s="2"/>
      <c r="S60" s="2">
        <v>8933140</v>
      </c>
      <c r="T60" s="2"/>
      <c r="U60" s="2"/>
      <c r="V60" s="2"/>
      <c r="W60" s="2">
        <f>352996+600040</f>
        <v>953036</v>
      </c>
      <c r="X60" s="2"/>
      <c r="Y60" s="2">
        <v>0</v>
      </c>
      <c r="Z60" s="2"/>
      <c r="AA60" s="2">
        <v>8189912</v>
      </c>
      <c r="AB60" s="2"/>
      <c r="AC60" s="31">
        <f t="shared" si="2"/>
        <v>9142948</v>
      </c>
      <c r="AD60" s="19"/>
      <c r="AE60" s="2">
        <f t="shared" si="3"/>
        <v>0</v>
      </c>
    </row>
    <row r="61" spans="1:33" s="96" customFormat="1">
      <c r="A61" s="13" t="s">
        <v>372</v>
      </c>
      <c r="B61" s="19"/>
      <c r="C61" s="19" t="s">
        <v>260</v>
      </c>
      <c r="E61" s="19">
        <v>51698</v>
      </c>
      <c r="G61" s="2">
        <v>2305964</v>
      </c>
      <c r="H61" s="2"/>
      <c r="I61" s="2">
        <f>58964+139723</f>
        <v>198687</v>
      </c>
      <c r="J61" s="2"/>
      <c r="K61" s="30">
        <f t="shared" si="0"/>
        <v>2412269</v>
      </c>
      <c r="L61" s="2"/>
      <c r="M61" s="2">
        <v>4916920</v>
      </c>
      <c r="N61" s="2"/>
      <c r="O61" s="30">
        <f t="shared" si="1"/>
        <v>569056</v>
      </c>
      <c r="P61" s="2"/>
      <c r="Q61" s="2">
        <v>2007718</v>
      </c>
      <c r="R61" s="2"/>
      <c r="S61" s="2">
        <v>2576774</v>
      </c>
      <c r="T61" s="2"/>
      <c r="U61" s="2"/>
      <c r="V61" s="2"/>
      <c r="W61" s="2">
        <f>160545+58738+177+29855+28932</f>
        <v>278247</v>
      </c>
      <c r="X61" s="2"/>
      <c r="Y61" s="2">
        <f>69251+816</f>
        <v>70067</v>
      </c>
      <c r="Z61" s="2"/>
      <c r="AA61" s="2">
        <v>1991832</v>
      </c>
      <c r="AB61" s="2"/>
      <c r="AC61" s="31">
        <f t="shared" si="2"/>
        <v>2340146</v>
      </c>
      <c r="AD61" s="19"/>
      <c r="AE61" s="2">
        <f t="shared" si="3"/>
        <v>0</v>
      </c>
    </row>
    <row r="62" spans="1:33" s="96" customFormat="1">
      <c r="A62" s="2" t="s">
        <v>345</v>
      </c>
      <c r="B62" s="19"/>
      <c r="C62" s="19" t="s">
        <v>262</v>
      </c>
      <c r="E62" s="19">
        <v>51714</v>
      </c>
      <c r="G62" s="2">
        <v>4581635</v>
      </c>
      <c r="H62" s="2"/>
      <c r="I62" s="2">
        <v>0</v>
      </c>
      <c r="J62" s="2"/>
      <c r="K62" s="30">
        <f t="shared" si="0"/>
        <v>4397999</v>
      </c>
      <c r="L62" s="2"/>
      <c r="M62" s="2">
        <v>8979634</v>
      </c>
      <c r="N62" s="2"/>
      <c r="O62" s="30">
        <f t="shared" si="1"/>
        <v>1121372</v>
      </c>
      <c r="P62" s="2"/>
      <c r="Q62" s="2">
        <v>3938092</v>
      </c>
      <c r="R62" s="2"/>
      <c r="S62" s="2">
        <v>5059464</v>
      </c>
      <c r="T62" s="2"/>
      <c r="U62" s="2"/>
      <c r="V62" s="2"/>
      <c r="W62" s="2">
        <f>319729+304122</f>
        <v>623851</v>
      </c>
      <c r="X62" s="2"/>
      <c r="Y62" s="2">
        <v>0</v>
      </c>
      <c r="Z62" s="2"/>
      <c r="AA62" s="2">
        <v>3296319</v>
      </c>
      <c r="AB62" s="2"/>
      <c r="AC62" s="31">
        <f t="shared" si="2"/>
        <v>3920170</v>
      </c>
      <c r="AD62" s="19"/>
      <c r="AE62" s="2">
        <f t="shared" si="3"/>
        <v>0</v>
      </c>
    </row>
    <row r="63" spans="1:33">
      <c r="A63" s="2"/>
      <c r="B63" s="19"/>
      <c r="C63" s="19"/>
      <c r="E63" s="19"/>
      <c r="G63" s="2"/>
      <c r="H63" s="2"/>
      <c r="I63" s="2"/>
      <c r="J63" s="2"/>
      <c r="K63" s="30"/>
      <c r="L63" s="2"/>
      <c r="M63" s="2"/>
      <c r="N63" s="2"/>
      <c r="O63" s="30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31"/>
      <c r="AD63" s="19"/>
      <c r="AE63" s="2"/>
    </row>
    <row r="64" spans="1:33">
      <c r="A64" s="2"/>
      <c r="B64" s="19"/>
      <c r="C64" s="19"/>
      <c r="E64" s="19"/>
      <c r="G64" s="2"/>
      <c r="H64" s="2"/>
      <c r="I64" s="2"/>
      <c r="J64" s="2"/>
      <c r="K64" s="30"/>
      <c r="L64" s="2"/>
      <c r="M64" s="2"/>
      <c r="N64" s="2"/>
      <c r="O64" s="30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31" t="s">
        <v>348</v>
      </c>
      <c r="AD64" s="19"/>
      <c r="AE64" s="2"/>
    </row>
    <row r="65" spans="1:36">
      <c r="A65" s="56" t="s">
        <v>347</v>
      </c>
      <c r="B65" s="19"/>
      <c r="C65" s="19"/>
      <c r="E65" s="19"/>
      <c r="AC65" s="31"/>
      <c r="AD65" s="19"/>
      <c r="AE65" s="2"/>
    </row>
    <row r="66" spans="1:36" s="65" customFormat="1" hidden="1">
      <c r="A66" s="13" t="s">
        <v>415</v>
      </c>
      <c r="B66" s="13"/>
      <c r="C66" s="13" t="s">
        <v>365</v>
      </c>
      <c r="E66" s="60">
        <v>45849</v>
      </c>
      <c r="G66" s="81">
        <v>490514</v>
      </c>
      <c r="H66" s="81"/>
      <c r="I66" s="81"/>
      <c r="J66" s="81"/>
      <c r="K66" s="59">
        <f>+M66-I66-G66</f>
        <v>0</v>
      </c>
      <c r="L66" s="81"/>
      <c r="M66" s="81">
        <v>490514</v>
      </c>
      <c r="N66" s="81"/>
      <c r="O66" s="59">
        <f>+S66-Q66</f>
        <v>0</v>
      </c>
      <c r="P66" s="81"/>
      <c r="Q66" s="81"/>
      <c r="R66" s="81"/>
      <c r="S66" s="81"/>
      <c r="T66" s="81"/>
      <c r="U66" s="81"/>
      <c r="V66" s="81"/>
      <c r="W66" s="81">
        <v>33756</v>
      </c>
      <c r="X66" s="81"/>
      <c r="Y66" s="81">
        <v>0</v>
      </c>
      <c r="Z66" s="81"/>
      <c r="AA66" s="81">
        <v>456758</v>
      </c>
      <c r="AB66" s="81"/>
      <c r="AC66" s="87">
        <f>SUM(W66:AA66)</f>
        <v>490514</v>
      </c>
      <c r="AD66" s="60"/>
      <c r="AE66" s="13">
        <f>+G66+I66+K66-O66-Q66-AA66-Y66-U66-W66</f>
        <v>0</v>
      </c>
      <c r="AG66" s="60" t="s">
        <v>400</v>
      </c>
    </row>
    <row r="67" spans="1:36" s="65" customFormat="1" hidden="1">
      <c r="A67" s="13" t="s">
        <v>416</v>
      </c>
      <c r="B67" s="13"/>
      <c r="C67" s="13" t="s">
        <v>156</v>
      </c>
      <c r="E67" s="60"/>
      <c r="G67" s="13">
        <v>2744731</v>
      </c>
      <c r="H67" s="13"/>
      <c r="I67" s="13"/>
      <c r="J67" s="13"/>
      <c r="K67" s="30">
        <f>+M67-I67-G67</f>
        <v>0</v>
      </c>
      <c r="L67" s="13"/>
      <c r="M67" s="13">
        <v>2744731</v>
      </c>
      <c r="N67" s="13"/>
      <c r="O67" s="30">
        <f>+S67-Q67</f>
        <v>0</v>
      </c>
      <c r="P67" s="13"/>
      <c r="Q67" s="13"/>
      <c r="R67" s="13"/>
      <c r="S67" s="13"/>
      <c r="T67" s="13"/>
      <c r="U67" s="13"/>
      <c r="V67" s="13"/>
      <c r="W67" s="13">
        <v>44935</v>
      </c>
      <c r="X67" s="13"/>
      <c r="Y67" s="13">
        <v>0</v>
      </c>
      <c r="Z67" s="13"/>
      <c r="AA67" s="13">
        <v>2699796</v>
      </c>
      <c r="AB67" s="13"/>
      <c r="AC67" s="90">
        <f>SUM(W67:AA67)</f>
        <v>2744731</v>
      </c>
      <c r="AD67" s="60"/>
      <c r="AE67" s="13">
        <f>+G67+I67+K67-O67-Q67-AA67-Y67-U67-W67</f>
        <v>0</v>
      </c>
      <c r="AG67" s="60" t="s">
        <v>400</v>
      </c>
    </row>
    <row r="68" spans="1:36" s="65" customFormat="1">
      <c r="A68" s="60" t="s">
        <v>161</v>
      </c>
      <c r="B68" s="60"/>
      <c r="C68" s="60" t="s">
        <v>157</v>
      </c>
      <c r="E68" s="60">
        <v>135145</v>
      </c>
      <c r="G68" s="81">
        <v>362475</v>
      </c>
      <c r="H68" s="81"/>
      <c r="I68" s="81">
        <v>0</v>
      </c>
      <c r="J68" s="81"/>
      <c r="K68" s="59">
        <f>+M68-I68-G68</f>
        <v>220970</v>
      </c>
      <c r="L68" s="81"/>
      <c r="M68" s="81">
        <v>583445</v>
      </c>
      <c r="N68" s="81"/>
      <c r="O68" s="59">
        <f>+S68-Q68</f>
        <v>380704</v>
      </c>
      <c r="P68" s="81"/>
      <c r="Q68" s="81">
        <v>0</v>
      </c>
      <c r="R68" s="81"/>
      <c r="S68" s="81">
        <v>380704</v>
      </c>
      <c r="T68" s="81"/>
      <c r="U68" s="81"/>
      <c r="V68" s="81"/>
      <c r="W68" s="81">
        <v>24141</v>
      </c>
      <c r="X68" s="81"/>
      <c r="Y68" s="81">
        <v>0</v>
      </c>
      <c r="Z68" s="81"/>
      <c r="AA68" s="81">
        <v>178600</v>
      </c>
      <c r="AB68" s="81"/>
      <c r="AC68" s="87">
        <f>SUM(W68:AA68)</f>
        <v>202741</v>
      </c>
      <c r="AD68" s="60"/>
      <c r="AE68" s="13">
        <f>+G68+I68+K68-O68-Q68-AA68-Y68-U68-W68</f>
        <v>0</v>
      </c>
      <c r="AG68" s="13"/>
    </row>
    <row r="69" spans="1:36" s="65" customFormat="1" hidden="1">
      <c r="A69" s="13" t="s">
        <v>417</v>
      </c>
      <c r="B69" s="13"/>
      <c r="C69" s="13" t="s">
        <v>369</v>
      </c>
      <c r="E69" s="60"/>
      <c r="G69" s="13">
        <v>2329005</v>
      </c>
      <c r="H69" s="13"/>
      <c r="I69" s="13"/>
      <c r="J69" s="13"/>
      <c r="K69" s="30">
        <f>+M69-I69-G69</f>
        <v>0</v>
      </c>
      <c r="L69" s="13"/>
      <c r="M69" s="13">
        <v>2329005</v>
      </c>
      <c r="N69" s="13"/>
      <c r="O69" s="30">
        <f>+S69-Q69</f>
        <v>0</v>
      </c>
      <c r="P69" s="13"/>
      <c r="Q69" s="13"/>
      <c r="R69" s="13"/>
      <c r="S69" s="13"/>
      <c r="T69" s="13"/>
      <c r="U69" s="13"/>
      <c r="V69" s="13"/>
      <c r="W69" s="13">
        <v>46773</v>
      </c>
      <c r="X69" s="13"/>
      <c r="Y69" s="13">
        <v>0</v>
      </c>
      <c r="Z69" s="13"/>
      <c r="AA69" s="13">
        <v>2282232</v>
      </c>
      <c r="AB69" s="13"/>
      <c r="AC69" s="90">
        <f>SUM(W69:AA69)</f>
        <v>2329005</v>
      </c>
      <c r="AD69" s="60"/>
      <c r="AE69" s="13">
        <f>+G69+I69+K69-O69-Q69-AA69-Y69-U69-W69</f>
        <v>0</v>
      </c>
      <c r="AG69" s="60" t="s">
        <v>400</v>
      </c>
    </row>
    <row r="70" spans="1:36">
      <c r="A70" s="19" t="s">
        <v>163</v>
      </c>
      <c r="B70" s="19"/>
      <c r="C70" s="19" t="s">
        <v>164</v>
      </c>
      <c r="E70" s="19">
        <v>46029</v>
      </c>
      <c r="G70" s="2">
        <v>2263205</v>
      </c>
      <c r="H70" s="2"/>
      <c r="I70" s="2">
        <v>0</v>
      </c>
      <c r="J70" s="2"/>
      <c r="K70" s="30">
        <f>+M70-I70-G70</f>
        <v>114761</v>
      </c>
      <c r="L70" s="2"/>
      <c r="M70" s="2">
        <v>2377966</v>
      </c>
      <c r="N70" s="2"/>
      <c r="O70" s="30">
        <f>+S70-Q70</f>
        <v>396712</v>
      </c>
      <c r="P70" s="2"/>
      <c r="Q70" s="2">
        <v>0</v>
      </c>
      <c r="R70" s="2"/>
      <c r="S70" s="2">
        <v>396712</v>
      </c>
      <c r="T70" s="2"/>
      <c r="U70" s="2"/>
      <c r="V70" s="2"/>
      <c r="W70" s="2">
        <v>81823</v>
      </c>
      <c r="X70" s="2"/>
      <c r="Y70" s="2">
        <v>0</v>
      </c>
      <c r="Z70" s="2"/>
      <c r="AA70" s="2">
        <v>1899431</v>
      </c>
      <c r="AB70" s="2"/>
      <c r="AC70" s="31">
        <f>SUM(W70:AA70)</f>
        <v>1981254</v>
      </c>
      <c r="AD70" s="19"/>
      <c r="AE70" s="2">
        <f>+G70+I70+K70-O70-Q70-AA70-Y70-U70-W70</f>
        <v>0</v>
      </c>
    </row>
    <row r="71" spans="1:36">
      <c r="A71" s="19" t="s">
        <v>165</v>
      </c>
      <c r="B71" s="19"/>
      <c r="C71" s="19" t="s">
        <v>159</v>
      </c>
      <c r="E71" s="19">
        <v>46086</v>
      </c>
      <c r="G71" s="2">
        <v>1102657</v>
      </c>
      <c r="H71" s="2"/>
      <c r="I71" s="2">
        <v>0</v>
      </c>
      <c r="J71" s="2"/>
      <c r="K71" s="30">
        <f t="shared" ref="K71:K126" si="4">+M71-I71-G71</f>
        <v>222339</v>
      </c>
      <c r="L71" s="2"/>
      <c r="M71" s="2">
        <v>1324996</v>
      </c>
      <c r="N71" s="2"/>
      <c r="O71" s="30">
        <f t="shared" ref="O71:O126" si="5">+S71-Q71</f>
        <v>551008</v>
      </c>
      <c r="P71" s="2"/>
      <c r="Q71" s="2">
        <v>5686</v>
      </c>
      <c r="R71" s="2"/>
      <c r="S71" s="2">
        <v>556694</v>
      </c>
      <c r="T71" s="2"/>
      <c r="U71" s="2"/>
      <c r="V71" s="2"/>
      <c r="W71" s="2">
        <v>120132</v>
      </c>
      <c r="X71" s="2"/>
      <c r="Y71" s="2">
        <v>0</v>
      </c>
      <c r="Z71" s="2"/>
      <c r="AA71" s="2">
        <v>648170</v>
      </c>
      <c r="AB71" s="2"/>
      <c r="AC71" s="31">
        <f t="shared" ref="AC71:AC126" si="6">SUM(W71:AA71)</f>
        <v>768302</v>
      </c>
      <c r="AD71" s="19"/>
      <c r="AE71" s="2">
        <f t="shared" ref="AE71:AE124" si="7">+G71+I71+K71-O71-Q71-AA71-Y71-U71-W71</f>
        <v>0</v>
      </c>
      <c r="AG71" s="65"/>
    </row>
    <row r="72" spans="1:36">
      <c r="A72" s="19" t="s">
        <v>168</v>
      </c>
      <c r="B72" s="19"/>
      <c r="C72" s="19" t="s">
        <v>169</v>
      </c>
      <c r="E72" s="19">
        <v>46227</v>
      </c>
      <c r="G72" s="2">
        <v>1282827</v>
      </c>
      <c r="H72" s="2"/>
      <c r="I72" s="2">
        <v>283822</v>
      </c>
      <c r="J72" s="2"/>
      <c r="K72" s="30">
        <f t="shared" si="4"/>
        <v>157041</v>
      </c>
      <c r="L72" s="2"/>
      <c r="M72" s="2">
        <v>1723690</v>
      </c>
      <c r="N72" s="2"/>
      <c r="O72" s="30">
        <f t="shared" si="5"/>
        <v>596493</v>
      </c>
      <c r="P72" s="2"/>
      <c r="Q72" s="2">
        <v>20082</v>
      </c>
      <c r="R72" s="2"/>
      <c r="S72" s="2">
        <v>616575</v>
      </c>
      <c r="T72" s="2"/>
      <c r="U72" s="2"/>
      <c r="V72" s="2"/>
      <c r="W72" s="2">
        <v>335855</v>
      </c>
      <c r="X72" s="2"/>
      <c r="Y72" s="2">
        <v>400000</v>
      </c>
      <c r="Z72" s="2"/>
      <c r="AA72" s="2">
        <v>371260</v>
      </c>
      <c r="AB72" s="2"/>
      <c r="AC72" s="31">
        <f t="shared" si="6"/>
        <v>1107115</v>
      </c>
      <c r="AD72" s="19"/>
      <c r="AE72" s="2">
        <f t="shared" si="7"/>
        <v>0</v>
      </c>
    </row>
    <row r="73" spans="1:36">
      <c r="A73" s="19" t="s">
        <v>170</v>
      </c>
      <c r="B73" s="19"/>
      <c r="C73" s="19" t="s">
        <v>171</v>
      </c>
      <c r="E73" s="19">
        <v>46292</v>
      </c>
      <c r="G73" s="2">
        <v>5397289</v>
      </c>
      <c r="H73" s="2"/>
      <c r="I73" s="2">
        <v>0</v>
      </c>
      <c r="J73" s="2"/>
      <c r="K73" s="30">
        <f t="shared" si="4"/>
        <v>941437</v>
      </c>
      <c r="L73" s="2"/>
      <c r="M73" s="2">
        <v>6338726</v>
      </c>
      <c r="N73" s="2"/>
      <c r="O73" s="30">
        <f t="shared" si="5"/>
        <v>2389895</v>
      </c>
      <c r="P73" s="2"/>
      <c r="Q73" s="2">
        <v>0</v>
      </c>
      <c r="R73" s="2"/>
      <c r="S73" s="2">
        <v>2389895</v>
      </c>
      <c r="T73" s="2"/>
      <c r="U73" s="2"/>
      <c r="V73" s="2"/>
      <c r="W73" s="2">
        <v>31102</v>
      </c>
      <c r="X73" s="2"/>
      <c r="Y73" s="2">
        <v>0</v>
      </c>
      <c r="Z73" s="2"/>
      <c r="AA73" s="2">
        <v>3917729</v>
      </c>
      <c r="AB73" s="2"/>
      <c r="AC73" s="31">
        <f t="shared" si="6"/>
        <v>3948831</v>
      </c>
      <c r="AD73" s="19"/>
      <c r="AE73" s="2">
        <f t="shared" si="7"/>
        <v>0</v>
      </c>
    </row>
    <row r="74" spans="1:36" s="65" customFormat="1" hidden="1">
      <c r="A74" s="80" t="s">
        <v>429</v>
      </c>
      <c r="B74" s="60"/>
      <c r="C74" s="60" t="s">
        <v>173</v>
      </c>
      <c r="E74" s="60">
        <v>46375</v>
      </c>
      <c r="G74" s="13"/>
      <c r="H74" s="13"/>
      <c r="I74" s="13"/>
      <c r="J74" s="13"/>
      <c r="K74" s="30">
        <f t="shared" si="4"/>
        <v>0</v>
      </c>
      <c r="L74" s="13"/>
      <c r="M74" s="13"/>
      <c r="N74" s="13"/>
      <c r="O74" s="30">
        <f t="shared" si="5"/>
        <v>0</v>
      </c>
      <c r="P74" s="13"/>
      <c r="Q74" s="13"/>
      <c r="R74" s="13"/>
      <c r="S74" s="13"/>
      <c r="T74" s="13"/>
      <c r="U74" s="13"/>
      <c r="V74" s="13"/>
      <c r="W74" s="13"/>
      <c r="X74" s="13"/>
      <c r="Y74" s="13">
        <v>0</v>
      </c>
      <c r="Z74" s="13"/>
      <c r="AA74" s="13"/>
      <c r="AB74" s="13"/>
      <c r="AC74" s="90">
        <f t="shared" si="6"/>
        <v>0</v>
      </c>
      <c r="AD74" s="60"/>
      <c r="AE74" s="13">
        <f t="shared" si="7"/>
        <v>0</v>
      </c>
      <c r="AG74" s="80" t="s">
        <v>406</v>
      </c>
    </row>
    <row r="75" spans="1:36">
      <c r="A75" s="19" t="s">
        <v>174</v>
      </c>
      <c r="B75" s="19"/>
      <c r="C75" s="19" t="s">
        <v>175</v>
      </c>
      <c r="E75" s="19">
        <v>46417</v>
      </c>
      <c r="G75" s="2">
        <v>999697</v>
      </c>
      <c r="H75" s="2"/>
      <c r="I75" s="2">
        <v>0</v>
      </c>
      <c r="J75" s="2"/>
      <c r="K75" s="30">
        <f t="shared" si="4"/>
        <v>640260</v>
      </c>
      <c r="L75" s="2"/>
      <c r="M75" s="2">
        <v>1639957</v>
      </c>
      <c r="N75" s="2"/>
      <c r="O75" s="30">
        <f t="shared" si="5"/>
        <v>933218</v>
      </c>
      <c r="P75" s="2"/>
      <c r="Q75" s="2">
        <v>234676</v>
      </c>
      <c r="R75" s="2"/>
      <c r="S75" s="2">
        <v>1167894</v>
      </c>
      <c r="T75" s="2"/>
      <c r="U75" s="2"/>
      <c r="V75" s="2"/>
      <c r="W75" s="2">
        <v>242420</v>
      </c>
      <c r="X75" s="2"/>
      <c r="Y75" s="2">
        <v>0</v>
      </c>
      <c r="Z75" s="2"/>
      <c r="AA75" s="2">
        <v>229643</v>
      </c>
      <c r="AB75" s="2"/>
      <c r="AC75" s="31">
        <f t="shared" si="6"/>
        <v>472063</v>
      </c>
      <c r="AD75" s="19"/>
      <c r="AE75" s="2">
        <f t="shared" si="7"/>
        <v>0</v>
      </c>
      <c r="AJ75" s="65"/>
    </row>
    <row r="76" spans="1:36">
      <c r="A76" s="19" t="s">
        <v>176</v>
      </c>
      <c r="B76" s="19"/>
      <c r="C76" s="19" t="s">
        <v>177</v>
      </c>
      <c r="E76" s="19">
        <v>46532</v>
      </c>
      <c r="G76" s="2">
        <v>15670443</v>
      </c>
      <c r="H76" s="2"/>
      <c r="I76" s="2">
        <v>0</v>
      </c>
      <c r="J76" s="2"/>
      <c r="K76" s="30">
        <f t="shared" si="4"/>
        <v>16358393</v>
      </c>
      <c r="L76" s="2"/>
      <c r="M76" s="2">
        <v>32028836</v>
      </c>
      <c r="N76" s="2"/>
      <c r="O76" s="30">
        <f t="shared" si="5"/>
        <v>5613737</v>
      </c>
      <c r="P76" s="2"/>
      <c r="Q76" s="2">
        <v>4508274</v>
      </c>
      <c r="R76" s="2"/>
      <c r="S76" s="2">
        <v>10122011</v>
      </c>
      <c r="T76" s="2"/>
      <c r="U76" s="2"/>
      <c r="V76" s="2"/>
      <c r="W76" s="2">
        <v>722187</v>
      </c>
      <c r="X76" s="2"/>
      <c r="Y76" s="2">
        <v>0</v>
      </c>
      <c r="Z76" s="2"/>
      <c r="AA76" s="2">
        <v>21184638</v>
      </c>
      <c r="AB76" s="2"/>
      <c r="AC76" s="31">
        <f t="shared" si="6"/>
        <v>21906825</v>
      </c>
      <c r="AD76" s="19"/>
      <c r="AE76" s="2">
        <f t="shared" si="7"/>
        <v>0</v>
      </c>
    </row>
    <row r="77" spans="1:36" hidden="1">
      <c r="A77" s="19" t="s">
        <v>395</v>
      </c>
      <c r="B77" s="19"/>
      <c r="C77" s="19" t="s">
        <v>179</v>
      </c>
      <c r="E77" s="19"/>
      <c r="G77" s="2">
        <v>496758</v>
      </c>
      <c r="H77" s="2"/>
      <c r="I77" s="2"/>
      <c r="J77" s="2"/>
      <c r="K77" s="30">
        <f>+M77-I77-G77</f>
        <v>0</v>
      </c>
      <c r="L77" s="2"/>
      <c r="M77" s="2">
        <v>496758</v>
      </c>
      <c r="N77" s="2"/>
      <c r="O77" s="30">
        <f>+S77-Q77</f>
        <v>0</v>
      </c>
      <c r="P77" s="2"/>
      <c r="Q77" s="2"/>
      <c r="R77" s="2"/>
      <c r="S77" s="2"/>
      <c r="T77" s="2"/>
      <c r="U77" s="2"/>
      <c r="V77" s="2"/>
      <c r="W77" s="2">
        <v>19611</v>
      </c>
      <c r="X77" s="2"/>
      <c r="Y77" s="2">
        <v>0</v>
      </c>
      <c r="Z77" s="2"/>
      <c r="AA77" s="2">
        <v>477147</v>
      </c>
      <c r="AB77" s="2"/>
      <c r="AC77" s="31">
        <f>SUM(W77:AA77)</f>
        <v>496758</v>
      </c>
      <c r="AD77" s="19"/>
      <c r="AE77" s="2">
        <f>+G77+I77+K77-O77-Q77-AA77-Y77-U77-W77</f>
        <v>0</v>
      </c>
      <c r="AG77" s="63" t="s">
        <v>373</v>
      </c>
    </row>
    <row r="78" spans="1:36" s="65" customFormat="1" hidden="1">
      <c r="A78" s="80" t="s">
        <v>180</v>
      </c>
      <c r="B78" s="60"/>
      <c r="C78" s="60" t="s">
        <v>181</v>
      </c>
      <c r="E78" s="60">
        <v>46730</v>
      </c>
      <c r="G78" s="13"/>
      <c r="H78" s="13"/>
      <c r="I78" s="13"/>
      <c r="J78" s="13"/>
      <c r="K78" s="30">
        <f t="shared" si="4"/>
        <v>0</v>
      </c>
      <c r="L78" s="13"/>
      <c r="M78" s="13"/>
      <c r="N78" s="13"/>
      <c r="O78" s="30">
        <f t="shared" si="5"/>
        <v>0</v>
      </c>
      <c r="P78" s="13"/>
      <c r="Q78" s="13"/>
      <c r="R78" s="13"/>
      <c r="S78" s="13"/>
      <c r="T78" s="13"/>
      <c r="U78" s="13"/>
      <c r="V78" s="13"/>
      <c r="W78" s="13"/>
      <c r="X78" s="13"/>
      <c r="Y78" s="13">
        <v>0</v>
      </c>
      <c r="Z78" s="13"/>
      <c r="AA78" s="13"/>
      <c r="AB78" s="13"/>
      <c r="AC78" s="90">
        <f t="shared" si="6"/>
        <v>0</v>
      </c>
      <c r="AD78" s="60"/>
      <c r="AE78" s="13">
        <f t="shared" si="7"/>
        <v>0</v>
      </c>
      <c r="AG78" s="80" t="s">
        <v>410</v>
      </c>
    </row>
    <row r="79" spans="1:36" s="65" customFormat="1" hidden="1">
      <c r="A79" s="80" t="s">
        <v>412</v>
      </c>
      <c r="B79" s="60"/>
      <c r="C79" s="60" t="s">
        <v>183</v>
      </c>
      <c r="E79" s="60">
        <v>125690</v>
      </c>
      <c r="G79" s="13"/>
      <c r="H79" s="13"/>
      <c r="I79" s="13"/>
      <c r="J79" s="13"/>
      <c r="K79" s="30">
        <f t="shared" si="4"/>
        <v>0</v>
      </c>
      <c r="L79" s="13"/>
      <c r="M79" s="13"/>
      <c r="N79" s="13"/>
      <c r="O79" s="30">
        <f t="shared" si="5"/>
        <v>0</v>
      </c>
      <c r="P79" s="13"/>
      <c r="Q79" s="13"/>
      <c r="R79" s="13"/>
      <c r="S79" s="13"/>
      <c r="T79" s="13"/>
      <c r="U79" s="13"/>
      <c r="V79" s="13"/>
      <c r="W79" s="13"/>
      <c r="X79" s="13"/>
      <c r="Y79" s="13">
        <v>0</v>
      </c>
      <c r="Z79" s="13"/>
      <c r="AA79" s="13"/>
      <c r="AB79" s="13"/>
      <c r="AC79" s="90">
        <f t="shared" si="6"/>
        <v>0</v>
      </c>
      <c r="AD79" s="60"/>
      <c r="AE79" s="13">
        <f t="shared" si="7"/>
        <v>0</v>
      </c>
      <c r="AG79" s="80" t="s">
        <v>414</v>
      </c>
    </row>
    <row r="80" spans="1:36">
      <c r="A80" s="19" t="s">
        <v>184</v>
      </c>
      <c r="B80" s="19"/>
      <c r="C80" s="19" t="s">
        <v>185</v>
      </c>
      <c r="E80" s="19">
        <v>46839</v>
      </c>
      <c r="G80" s="2">
        <v>1628410</v>
      </c>
      <c r="H80" s="2"/>
      <c r="I80" s="2">
        <v>0</v>
      </c>
      <c r="J80" s="2"/>
      <c r="K80" s="30">
        <f t="shared" si="4"/>
        <v>488871</v>
      </c>
      <c r="L80" s="2"/>
      <c r="M80" s="2">
        <v>2117281</v>
      </c>
      <c r="N80" s="2"/>
      <c r="O80" s="30">
        <f t="shared" si="5"/>
        <v>1037978</v>
      </c>
      <c r="P80" s="2"/>
      <c r="Q80" s="2">
        <v>0</v>
      </c>
      <c r="R80" s="2"/>
      <c r="S80" s="2">
        <v>1037978</v>
      </c>
      <c r="T80" s="2"/>
      <c r="U80" s="2"/>
      <c r="V80" s="2"/>
      <c r="W80" s="2">
        <v>4913</v>
      </c>
      <c r="X80" s="2"/>
      <c r="Y80" s="2">
        <v>0</v>
      </c>
      <c r="Z80" s="2"/>
      <c r="AA80" s="2">
        <v>1074390</v>
      </c>
      <c r="AB80" s="2"/>
      <c r="AC80" s="31">
        <f t="shared" si="6"/>
        <v>1079303</v>
      </c>
      <c r="AD80" s="19"/>
      <c r="AE80" s="2">
        <f t="shared" si="7"/>
        <v>0</v>
      </c>
      <c r="AG80" s="19"/>
    </row>
    <row r="81" spans="1:33">
      <c r="A81" s="2" t="s">
        <v>433</v>
      </c>
      <c r="B81" s="19"/>
      <c r="C81" s="19" t="s">
        <v>186</v>
      </c>
      <c r="E81" s="19">
        <v>46938</v>
      </c>
      <c r="G81" s="2">
        <v>13267884</v>
      </c>
      <c r="H81" s="2"/>
      <c r="I81" s="2">
        <v>0</v>
      </c>
      <c r="J81" s="2"/>
      <c r="K81" s="30">
        <f t="shared" si="4"/>
        <v>6952482</v>
      </c>
      <c r="L81" s="2"/>
      <c r="M81" s="2">
        <v>20220366</v>
      </c>
      <c r="N81" s="2"/>
      <c r="O81" s="30">
        <f t="shared" si="5"/>
        <v>5541757</v>
      </c>
      <c r="P81" s="2"/>
      <c r="Q81" s="2">
        <v>57307</v>
      </c>
      <c r="R81" s="2"/>
      <c r="S81" s="2">
        <v>5599064</v>
      </c>
      <c r="T81" s="2"/>
      <c r="U81" s="2"/>
      <c r="V81" s="2"/>
      <c r="W81" s="2">
        <v>1696091</v>
      </c>
      <c r="X81" s="2"/>
      <c r="Y81" s="2">
        <v>0</v>
      </c>
      <c r="Z81" s="2"/>
      <c r="AA81" s="2">
        <v>12925211</v>
      </c>
      <c r="AB81" s="2"/>
      <c r="AC81" s="31">
        <f t="shared" si="6"/>
        <v>14621302</v>
      </c>
      <c r="AD81" s="19"/>
      <c r="AE81" s="2">
        <f t="shared" si="7"/>
        <v>0</v>
      </c>
      <c r="AG81" s="60" t="s">
        <v>409</v>
      </c>
    </row>
    <row r="82" spans="1:33">
      <c r="A82" s="19" t="s">
        <v>188</v>
      </c>
      <c r="B82" s="19"/>
      <c r="C82" s="19" t="s">
        <v>189</v>
      </c>
      <c r="E82" s="19">
        <v>125682</v>
      </c>
      <c r="G82" s="2">
        <v>879330</v>
      </c>
      <c r="H82" s="2"/>
      <c r="I82" s="2">
        <v>0</v>
      </c>
      <c r="J82" s="2"/>
      <c r="K82" s="30">
        <f t="shared" si="4"/>
        <v>55345</v>
      </c>
      <c r="L82" s="2"/>
      <c r="M82" s="2">
        <v>934675</v>
      </c>
      <c r="N82" s="2"/>
      <c r="O82" s="30">
        <f t="shared" si="5"/>
        <v>52215</v>
      </c>
      <c r="P82" s="2"/>
      <c r="Q82" s="2">
        <v>0</v>
      </c>
      <c r="R82" s="2"/>
      <c r="S82" s="2">
        <v>52215</v>
      </c>
      <c r="T82" s="2"/>
      <c r="U82" s="2"/>
      <c r="V82" s="2"/>
      <c r="W82" s="2">
        <v>0</v>
      </c>
      <c r="X82" s="2"/>
      <c r="Y82" s="2">
        <v>0</v>
      </c>
      <c r="Z82" s="2"/>
      <c r="AA82" s="2">
        <v>882460</v>
      </c>
      <c r="AB82" s="2"/>
      <c r="AC82" s="31">
        <f t="shared" si="6"/>
        <v>882460</v>
      </c>
      <c r="AD82" s="19"/>
      <c r="AE82" s="2">
        <f t="shared" si="7"/>
        <v>0</v>
      </c>
    </row>
    <row r="83" spans="1:33" hidden="1">
      <c r="A83" s="72" t="s">
        <v>393</v>
      </c>
      <c r="B83" s="19"/>
      <c r="C83" s="19" t="s">
        <v>191</v>
      </c>
      <c r="E83" s="19">
        <v>47159</v>
      </c>
      <c r="G83" s="2"/>
      <c r="H83" s="2"/>
      <c r="I83" s="2"/>
      <c r="J83" s="2"/>
      <c r="K83" s="30">
        <f t="shared" si="4"/>
        <v>0</v>
      </c>
      <c r="L83" s="2"/>
      <c r="M83" s="2"/>
      <c r="N83" s="2"/>
      <c r="O83" s="30">
        <f t="shared" si="5"/>
        <v>0</v>
      </c>
      <c r="P83" s="2"/>
      <c r="Q83" s="2"/>
      <c r="R83" s="2"/>
      <c r="S83" s="2"/>
      <c r="T83" s="2"/>
      <c r="U83" s="2"/>
      <c r="V83" s="2"/>
      <c r="W83" s="2"/>
      <c r="X83" s="2"/>
      <c r="Y83" s="2">
        <v>0</v>
      </c>
      <c r="Z83" s="2"/>
      <c r="AA83" s="2"/>
      <c r="AB83" s="2"/>
      <c r="AC83" s="31">
        <f t="shared" si="6"/>
        <v>0</v>
      </c>
      <c r="AD83" s="19"/>
      <c r="AE83" s="2">
        <f t="shared" si="7"/>
        <v>0</v>
      </c>
      <c r="AG83" s="72" t="s">
        <v>394</v>
      </c>
    </row>
    <row r="84" spans="1:33">
      <c r="A84" s="19" t="s">
        <v>192</v>
      </c>
      <c r="B84" s="19"/>
      <c r="C84" s="19" t="s">
        <v>193</v>
      </c>
      <c r="E84" s="19">
        <v>47233</v>
      </c>
      <c r="G84" s="2">
        <v>3101825</v>
      </c>
      <c r="H84" s="2"/>
      <c r="I84" s="2">
        <v>0</v>
      </c>
      <c r="J84" s="2"/>
      <c r="K84" s="30">
        <f t="shared" si="4"/>
        <v>254269</v>
      </c>
      <c r="L84" s="2"/>
      <c r="M84" s="2">
        <v>3356094</v>
      </c>
      <c r="N84" s="2"/>
      <c r="O84" s="30">
        <f t="shared" si="5"/>
        <v>1729733</v>
      </c>
      <c r="P84" s="2"/>
      <c r="Q84" s="2">
        <v>77903</v>
      </c>
      <c r="R84" s="2"/>
      <c r="S84" s="2">
        <v>1807636</v>
      </c>
      <c r="T84" s="2"/>
      <c r="U84" s="2"/>
      <c r="V84" s="2"/>
      <c r="W84" s="2">
        <v>18506</v>
      </c>
      <c r="X84" s="2"/>
      <c r="Y84" s="2">
        <v>0</v>
      </c>
      <c r="Z84" s="2"/>
      <c r="AA84" s="2">
        <v>1529952</v>
      </c>
      <c r="AB84" s="2"/>
      <c r="AC84" s="31">
        <f t="shared" si="6"/>
        <v>1548458</v>
      </c>
      <c r="AD84" s="19"/>
      <c r="AE84" s="2">
        <f t="shared" si="7"/>
        <v>0</v>
      </c>
    </row>
    <row r="85" spans="1:33">
      <c r="A85" s="19" t="s">
        <v>194</v>
      </c>
      <c r="B85" s="19"/>
      <c r="C85" s="19" t="s">
        <v>195</v>
      </c>
      <c r="E85" s="19">
        <v>47324</v>
      </c>
      <c r="G85" s="2">
        <v>6537823</v>
      </c>
      <c r="H85" s="2"/>
      <c r="I85" s="2">
        <v>0</v>
      </c>
      <c r="J85" s="2"/>
      <c r="K85" s="30">
        <f t="shared" si="4"/>
        <v>2203992</v>
      </c>
      <c r="L85" s="2"/>
      <c r="M85" s="2">
        <v>8741815</v>
      </c>
      <c r="N85" s="2"/>
      <c r="O85" s="30">
        <f t="shared" si="5"/>
        <v>4043753</v>
      </c>
      <c r="P85" s="2"/>
      <c r="Q85" s="2">
        <v>789828</v>
      </c>
      <c r="R85" s="2"/>
      <c r="S85" s="2">
        <v>4833581</v>
      </c>
      <c r="T85" s="2"/>
      <c r="U85" s="2"/>
      <c r="V85" s="2"/>
      <c r="W85" s="2">
        <v>29997</v>
      </c>
      <c r="X85" s="2"/>
      <c r="Y85" s="2">
        <v>0</v>
      </c>
      <c r="Z85" s="2"/>
      <c r="AA85" s="2">
        <v>3878237</v>
      </c>
      <c r="AB85" s="2"/>
      <c r="AC85" s="31">
        <f t="shared" si="6"/>
        <v>3908234</v>
      </c>
      <c r="AD85" s="19"/>
      <c r="AE85" s="2">
        <f t="shared" si="7"/>
        <v>0</v>
      </c>
    </row>
    <row r="86" spans="1:33">
      <c r="A86" s="19" t="s">
        <v>196</v>
      </c>
      <c r="B86" s="19"/>
      <c r="C86" s="19" t="s">
        <v>197</v>
      </c>
      <c r="E86" s="19">
        <v>47407</v>
      </c>
      <c r="G86" s="2">
        <v>85976</v>
      </c>
      <c r="H86" s="2"/>
      <c r="I86" s="2">
        <v>0</v>
      </c>
      <c r="J86" s="2"/>
      <c r="K86" s="30">
        <f t="shared" si="4"/>
        <v>1063878</v>
      </c>
      <c r="L86" s="2"/>
      <c r="M86" s="2">
        <v>1149854</v>
      </c>
      <c r="N86" s="2"/>
      <c r="O86" s="30">
        <f t="shared" si="5"/>
        <v>611368</v>
      </c>
      <c r="P86" s="2"/>
      <c r="Q86" s="2">
        <v>0</v>
      </c>
      <c r="R86" s="2"/>
      <c r="S86" s="2">
        <v>611368</v>
      </c>
      <c r="T86" s="2"/>
      <c r="U86" s="2"/>
      <c r="V86" s="2"/>
      <c r="W86" s="2">
        <v>12415</v>
      </c>
      <c r="X86" s="2"/>
      <c r="Y86" s="2">
        <v>0</v>
      </c>
      <c r="Z86" s="2"/>
      <c r="AA86" s="2">
        <v>526071</v>
      </c>
      <c r="AB86" s="2"/>
      <c r="AC86" s="31">
        <f t="shared" si="6"/>
        <v>538486</v>
      </c>
      <c r="AD86" s="19"/>
      <c r="AE86" s="2">
        <f t="shared" si="7"/>
        <v>0</v>
      </c>
    </row>
    <row r="87" spans="1:33">
      <c r="A87" s="19" t="s">
        <v>198</v>
      </c>
      <c r="B87" s="19"/>
      <c r="C87" s="19" t="s">
        <v>23</v>
      </c>
      <c r="E87" s="19">
        <v>47480</v>
      </c>
      <c r="G87" s="2">
        <v>1283933</v>
      </c>
      <c r="H87" s="2"/>
      <c r="I87" s="2">
        <v>0</v>
      </c>
      <c r="J87" s="2"/>
      <c r="K87" s="30">
        <f t="shared" si="4"/>
        <v>292057</v>
      </c>
      <c r="L87" s="2"/>
      <c r="M87" s="2">
        <v>1575990</v>
      </c>
      <c r="N87" s="2"/>
      <c r="O87" s="30">
        <f t="shared" si="5"/>
        <v>148069</v>
      </c>
      <c r="P87" s="2"/>
      <c r="Q87" s="2">
        <v>218385</v>
      </c>
      <c r="R87" s="2"/>
      <c r="S87" s="2">
        <v>366454</v>
      </c>
      <c r="T87" s="2"/>
      <c r="U87" s="2"/>
      <c r="V87" s="2"/>
      <c r="W87" s="2">
        <v>49824</v>
      </c>
      <c r="X87" s="2"/>
      <c r="Y87" s="2">
        <v>0</v>
      </c>
      <c r="Z87" s="2"/>
      <c r="AA87" s="2">
        <v>1159712</v>
      </c>
      <c r="AB87" s="2"/>
      <c r="AC87" s="31">
        <f t="shared" si="6"/>
        <v>1209536</v>
      </c>
      <c r="AD87" s="19"/>
      <c r="AE87" s="2">
        <f t="shared" si="7"/>
        <v>0</v>
      </c>
    </row>
    <row r="88" spans="1:33">
      <c r="A88" s="19" t="s">
        <v>199</v>
      </c>
      <c r="B88" s="19"/>
      <c r="C88" s="19" t="s">
        <v>200</v>
      </c>
      <c r="E88" s="19">
        <v>47779</v>
      </c>
      <c r="G88" s="2">
        <v>2976253</v>
      </c>
      <c r="H88" s="2"/>
      <c r="I88" s="2">
        <v>0</v>
      </c>
      <c r="J88" s="2"/>
      <c r="K88" s="30">
        <f t="shared" si="4"/>
        <v>226380</v>
      </c>
      <c r="L88" s="2"/>
      <c r="M88" s="2">
        <v>3202633</v>
      </c>
      <c r="N88" s="2"/>
      <c r="O88" s="30">
        <f t="shared" si="5"/>
        <v>389023</v>
      </c>
      <c r="P88" s="2"/>
      <c r="Q88" s="2">
        <v>7038</v>
      </c>
      <c r="R88" s="2"/>
      <c r="S88" s="2">
        <v>396061</v>
      </c>
      <c r="T88" s="2"/>
      <c r="U88" s="2"/>
      <c r="V88" s="2"/>
      <c r="W88" s="2">
        <v>40223</v>
      </c>
      <c r="X88" s="2"/>
      <c r="Y88" s="2">
        <v>0</v>
      </c>
      <c r="Z88" s="2"/>
      <c r="AA88" s="2">
        <v>2766349</v>
      </c>
      <c r="AB88" s="2"/>
      <c r="AC88" s="31">
        <f t="shared" si="6"/>
        <v>2806572</v>
      </c>
      <c r="AD88" s="19"/>
      <c r="AE88" s="2">
        <f t="shared" si="7"/>
        <v>0</v>
      </c>
    </row>
    <row r="89" spans="1:33">
      <c r="A89" s="19" t="s">
        <v>201</v>
      </c>
      <c r="B89" s="19"/>
      <c r="C89" s="19" t="s">
        <v>202</v>
      </c>
      <c r="E89" s="19">
        <v>47811</v>
      </c>
      <c r="G89" s="2">
        <v>848839</v>
      </c>
      <c r="H89" s="2"/>
      <c r="I89" s="2">
        <v>0</v>
      </c>
      <c r="J89" s="2"/>
      <c r="K89" s="30">
        <f t="shared" si="4"/>
        <v>38214</v>
      </c>
      <c r="L89" s="2"/>
      <c r="M89" s="2">
        <v>887053</v>
      </c>
      <c r="N89" s="2"/>
      <c r="O89" s="30">
        <f t="shared" si="5"/>
        <v>412960</v>
      </c>
      <c r="P89" s="2"/>
      <c r="Q89" s="2">
        <v>0</v>
      </c>
      <c r="R89" s="2"/>
      <c r="S89" s="2">
        <v>412960</v>
      </c>
      <c r="T89" s="2"/>
      <c r="U89" s="2"/>
      <c r="V89" s="2"/>
      <c r="W89" s="2">
        <v>47220</v>
      </c>
      <c r="X89" s="2"/>
      <c r="Y89" s="2">
        <v>0</v>
      </c>
      <c r="Z89" s="2"/>
      <c r="AA89" s="2">
        <v>426873</v>
      </c>
      <c r="AB89" s="2"/>
      <c r="AC89" s="31">
        <f t="shared" si="6"/>
        <v>474093</v>
      </c>
      <c r="AD89" s="19"/>
      <c r="AE89" s="2">
        <f t="shared" si="7"/>
        <v>0</v>
      </c>
    </row>
    <row r="90" spans="1:33">
      <c r="A90" s="19" t="s">
        <v>203</v>
      </c>
      <c r="B90" s="19"/>
      <c r="C90" s="19" t="s">
        <v>158</v>
      </c>
      <c r="E90" s="19">
        <v>47860</v>
      </c>
      <c r="G90" s="2">
        <v>1361130</v>
      </c>
      <c r="H90" s="2"/>
      <c r="I90" s="2">
        <v>0</v>
      </c>
      <c r="J90" s="2"/>
      <c r="K90" s="30">
        <f t="shared" si="4"/>
        <v>186579</v>
      </c>
      <c r="L90" s="2"/>
      <c r="M90" s="2">
        <v>1547709</v>
      </c>
      <c r="N90" s="2"/>
      <c r="O90" s="30">
        <f t="shared" si="5"/>
        <v>1038590</v>
      </c>
      <c r="P90" s="2"/>
      <c r="Q90" s="2">
        <v>0</v>
      </c>
      <c r="R90" s="2"/>
      <c r="S90" s="2">
        <v>1038590</v>
      </c>
      <c r="T90" s="2"/>
      <c r="U90" s="2"/>
      <c r="V90" s="2"/>
      <c r="W90" s="2">
        <v>58806</v>
      </c>
      <c r="X90" s="2"/>
      <c r="Y90" s="2">
        <v>0</v>
      </c>
      <c r="Z90" s="2"/>
      <c r="AA90" s="2">
        <v>450313</v>
      </c>
      <c r="AB90" s="2"/>
      <c r="AC90" s="31">
        <f t="shared" si="6"/>
        <v>509119</v>
      </c>
      <c r="AD90" s="19"/>
      <c r="AE90" s="2">
        <f t="shared" si="7"/>
        <v>0</v>
      </c>
      <c r="AG90" s="60"/>
    </row>
    <row r="91" spans="1:33">
      <c r="A91" s="19" t="s">
        <v>204</v>
      </c>
      <c r="B91" s="19"/>
      <c r="C91" s="19" t="s">
        <v>205</v>
      </c>
      <c r="E91" s="19">
        <v>47910</v>
      </c>
      <c r="G91" s="2">
        <v>178553</v>
      </c>
      <c r="H91" s="2"/>
      <c r="I91" s="2">
        <v>0</v>
      </c>
      <c r="J91" s="2"/>
      <c r="K91" s="30">
        <f t="shared" si="4"/>
        <v>7606</v>
      </c>
      <c r="L91" s="2"/>
      <c r="M91" s="2">
        <v>186159</v>
      </c>
      <c r="N91" s="2"/>
      <c r="O91" s="30">
        <f t="shared" si="5"/>
        <v>74029</v>
      </c>
      <c r="P91" s="2"/>
      <c r="Q91" s="2">
        <v>0</v>
      </c>
      <c r="R91" s="2"/>
      <c r="S91" s="2">
        <v>74029</v>
      </c>
      <c r="T91" s="2"/>
      <c r="U91" s="2"/>
      <c r="V91" s="2"/>
      <c r="W91" s="2">
        <v>2770</v>
      </c>
      <c r="X91" s="2"/>
      <c r="Y91" s="2">
        <v>0</v>
      </c>
      <c r="Z91" s="2"/>
      <c r="AA91" s="2">
        <v>109360</v>
      </c>
      <c r="AB91" s="2"/>
      <c r="AC91" s="31">
        <f t="shared" si="6"/>
        <v>112130</v>
      </c>
      <c r="AD91" s="19"/>
      <c r="AE91" s="2">
        <f t="shared" si="7"/>
        <v>0</v>
      </c>
    </row>
    <row r="92" spans="1:33">
      <c r="A92" s="13" t="s">
        <v>206</v>
      </c>
      <c r="B92" s="13"/>
      <c r="C92" s="13" t="s">
        <v>207</v>
      </c>
      <c r="E92" s="19"/>
      <c r="G92" s="2">
        <v>922170</v>
      </c>
      <c r="H92" s="2"/>
      <c r="I92" s="2">
        <v>0</v>
      </c>
      <c r="J92" s="2"/>
      <c r="K92" s="30">
        <f>+M92-I92-G92</f>
        <v>2417904</v>
      </c>
      <c r="L92" s="2"/>
      <c r="M92" s="2">
        <v>3340074</v>
      </c>
      <c r="N92" s="2"/>
      <c r="O92" s="30">
        <f>+S92-Q92</f>
        <v>1046462</v>
      </c>
      <c r="P92" s="2"/>
      <c r="Q92" s="2">
        <v>2274853</v>
      </c>
      <c r="R92" s="2"/>
      <c r="S92" s="2">
        <v>3321315</v>
      </c>
      <c r="T92" s="2"/>
      <c r="U92" s="2"/>
      <c r="V92" s="2"/>
      <c r="W92" s="2">
        <v>24284</v>
      </c>
      <c r="X92" s="2"/>
      <c r="Y92" s="2">
        <v>0</v>
      </c>
      <c r="Z92" s="2"/>
      <c r="AA92" s="2">
        <v>-5525</v>
      </c>
      <c r="AB92" s="2"/>
      <c r="AC92" s="31">
        <f>SUM(W92:AA92)</f>
        <v>18759</v>
      </c>
      <c r="AD92" s="19"/>
      <c r="AE92" s="2">
        <f>+G92+I92+K92-O92-Q92-AA92-Y92-U92-W92</f>
        <v>0</v>
      </c>
    </row>
    <row r="93" spans="1:33">
      <c r="A93" s="19" t="s">
        <v>208</v>
      </c>
      <c r="B93" s="19"/>
      <c r="C93" s="19" t="s">
        <v>209</v>
      </c>
      <c r="E93" s="19">
        <v>48058</v>
      </c>
      <c r="G93" s="2">
        <v>603990</v>
      </c>
      <c r="H93" s="2"/>
      <c r="I93" s="2">
        <v>0</v>
      </c>
      <c r="J93" s="2"/>
      <c r="K93" s="30">
        <f t="shared" si="4"/>
        <v>1700</v>
      </c>
      <c r="L93" s="2"/>
      <c r="M93" s="2">
        <v>605690</v>
      </c>
      <c r="N93" s="2"/>
      <c r="O93" s="30">
        <f t="shared" si="5"/>
        <v>266936</v>
      </c>
      <c r="P93" s="2"/>
      <c r="Q93" s="2">
        <v>0</v>
      </c>
      <c r="R93" s="2"/>
      <c r="S93" s="2">
        <v>266936</v>
      </c>
      <c r="T93" s="2"/>
      <c r="U93" s="2"/>
      <c r="V93" s="2"/>
      <c r="W93" s="2">
        <v>6195</v>
      </c>
      <c r="X93" s="2"/>
      <c r="Y93" s="2">
        <v>0</v>
      </c>
      <c r="Z93" s="2"/>
      <c r="AA93" s="2">
        <v>332559</v>
      </c>
      <c r="AB93" s="2"/>
      <c r="AC93" s="31">
        <f t="shared" si="6"/>
        <v>338754</v>
      </c>
      <c r="AD93" s="19"/>
      <c r="AE93" s="2">
        <f t="shared" si="7"/>
        <v>0</v>
      </c>
    </row>
    <row r="94" spans="1:33">
      <c r="A94" s="19" t="s">
        <v>210</v>
      </c>
      <c r="B94" s="19"/>
      <c r="C94" s="19" t="s">
        <v>154</v>
      </c>
      <c r="E94" s="19">
        <v>48108</v>
      </c>
      <c r="G94" s="2">
        <v>2644355</v>
      </c>
      <c r="H94" s="2"/>
      <c r="I94" s="2">
        <v>0</v>
      </c>
      <c r="J94" s="2"/>
      <c r="K94" s="30">
        <f t="shared" si="4"/>
        <v>1274705</v>
      </c>
      <c r="L94" s="2"/>
      <c r="M94" s="2">
        <v>3919060</v>
      </c>
      <c r="N94" s="2"/>
      <c r="O94" s="30">
        <f t="shared" si="5"/>
        <v>828216</v>
      </c>
      <c r="P94" s="2"/>
      <c r="Q94" s="2">
        <v>79510</v>
      </c>
      <c r="R94" s="2"/>
      <c r="S94" s="2">
        <v>907726</v>
      </c>
      <c r="T94" s="2"/>
      <c r="U94" s="2"/>
      <c r="V94" s="2"/>
      <c r="W94" s="2">
        <v>338795</v>
      </c>
      <c r="X94" s="2"/>
      <c r="Y94" s="2">
        <v>0</v>
      </c>
      <c r="Z94" s="2"/>
      <c r="AA94" s="2">
        <v>2672539</v>
      </c>
      <c r="AB94" s="2"/>
      <c r="AC94" s="31">
        <f t="shared" si="6"/>
        <v>3011334</v>
      </c>
      <c r="AD94" s="19"/>
      <c r="AE94" s="2">
        <f t="shared" si="7"/>
        <v>0</v>
      </c>
    </row>
    <row r="95" spans="1:33">
      <c r="A95" s="19" t="s">
        <v>211</v>
      </c>
      <c r="B95" s="19"/>
      <c r="C95" s="19" t="s">
        <v>212</v>
      </c>
      <c r="E95" s="19">
        <v>48199</v>
      </c>
      <c r="G95" s="2">
        <v>4341952</v>
      </c>
      <c r="H95" s="2"/>
      <c r="I95" s="2">
        <v>0</v>
      </c>
      <c r="J95" s="2"/>
      <c r="K95" s="30">
        <f t="shared" si="4"/>
        <v>568119</v>
      </c>
      <c r="L95" s="2"/>
      <c r="M95" s="2">
        <v>4910071</v>
      </c>
      <c r="N95" s="2"/>
      <c r="O95" s="30">
        <f t="shared" si="5"/>
        <v>1296135</v>
      </c>
      <c r="P95" s="2"/>
      <c r="Q95" s="2">
        <v>277216</v>
      </c>
      <c r="R95" s="2"/>
      <c r="S95" s="2">
        <v>1573351</v>
      </c>
      <c r="T95" s="2"/>
      <c r="U95" s="2"/>
      <c r="V95" s="2"/>
      <c r="W95" s="2">
        <v>460144</v>
      </c>
      <c r="X95" s="2"/>
      <c r="Y95" s="2">
        <v>0</v>
      </c>
      <c r="Z95" s="2"/>
      <c r="AA95" s="2">
        <v>2876576</v>
      </c>
      <c r="AB95" s="2"/>
      <c r="AC95" s="31">
        <f t="shared" si="6"/>
        <v>3336720</v>
      </c>
      <c r="AD95" s="19"/>
      <c r="AE95" s="2">
        <f t="shared" si="7"/>
        <v>0</v>
      </c>
    </row>
    <row r="96" spans="1:33" s="96" customFormat="1">
      <c r="A96" s="19" t="s">
        <v>166</v>
      </c>
      <c r="B96" s="19"/>
      <c r="C96" s="19" t="s">
        <v>167</v>
      </c>
      <c r="E96" s="19">
        <v>137364</v>
      </c>
      <c r="G96" s="2">
        <v>1388644</v>
      </c>
      <c r="H96" s="2"/>
      <c r="I96" s="2">
        <v>0</v>
      </c>
      <c r="J96" s="2"/>
      <c r="K96" s="30">
        <f t="shared" si="4"/>
        <v>187864</v>
      </c>
      <c r="L96" s="2"/>
      <c r="M96" s="2">
        <v>1576508</v>
      </c>
      <c r="N96" s="2"/>
      <c r="O96" s="30">
        <f t="shared" si="5"/>
        <v>1280401</v>
      </c>
      <c r="P96" s="2"/>
      <c r="Q96" s="2">
        <v>374</v>
      </c>
      <c r="R96" s="2"/>
      <c r="S96" s="2">
        <v>1280775</v>
      </c>
      <c r="T96" s="2"/>
      <c r="U96" s="2"/>
      <c r="V96" s="2"/>
      <c r="W96" s="2">
        <v>23451</v>
      </c>
      <c r="X96" s="2"/>
      <c r="Y96" s="2">
        <v>0</v>
      </c>
      <c r="Z96" s="2"/>
      <c r="AA96" s="2">
        <v>272282</v>
      </c>
      <c r="AB96" s="2"/>
      <c r="AC96" s="31">
        <f t="shared" si="6"/>
        <v>295733</v>
      </c>
      <c r="AD96" s="19"/>
      <c r="AE96" s="2">
        <f t="shared" si="7"/>
        <v>0</v>
      </c>
    </row>
    <row r="97" spans="1:33" s="96" customFormat="1">
      <c r="A97" s="19" t="s">
        <v>213</v>
      </c>
      <c r="B97" s="19"/>
      <c r="C97" s="19" t="s">
        <v>214</v>
      </c>
      <c r="E97" s="19">
        <v>48280</v>
      </c>
      <c r="G97" s="2">
        <v>3693085</v>
      </c>
      <c r="H97" s="2"/>
      <c r="I97" s="2">
        <v>0</v>
      </c>
      <c r="J97" s="2"/>
      <c r="K97" s="30">
        <f t="shared" si="4"/>
        <v>2315635</v>
      </c>
      <c r="L97" s="2"/>
      <c r="M97" s="2">
        <v>6008720</v>
      </c>
      <c r="N97" s="2"/>
      <c r="O97" s="30">
        <f t="shared" si="5"/>
        <v>1754968</v>
      </c>
      <c r="P97" s="2"/>
      <c r="Q97" s="2">
        <v>1538193</v>
      </c>
      <c r="R97" s="2"/>
      <c r="S97" s="2">
        <v>3293161</v>
      </c>
      <c r="T97" s="2"/>
      <c r="U97" s="2"/>
      <c r="V97" s="2"/>
      <c r="W97" s="2">
        <f>426343+19245</f>
        <v>445588</v>
      </c>
      <c r="X97" s="2"/>
      <c r="Y97" s="2">
        <v>0</v>
      </c>
      <c r="Z97" s="2"/>
      <c r="AA97" s="2">
        <v>2269971</v>
      </c>
      <c r="AB97" s="2"/>
      <c r="AC97" s="31">
        <f t="shared" si="6"/>
        <v>2715559</v>
      </c>
      <c r="AD97" s="19"/>
      <c r="AE97" s="2">
        <f t="shared" si="7"/>
        <v>0</v>
      </c>
    </row>
    <row r="98" spans="1:33" s="96" customFormat="1">
      <c r="A98" s="19" t="s">
        <v>215</v>
      </c>
      <c r="B98" s="19"/>
      <c r="C98" s="19" t="s">
        <v>216</v>
      </c>
      <c r="E98" s="19">
        <v>48454</v>
      </c>
      <c r="G98" s="2">
        <v>1991554</v>
      </c>
      <c r="H98" s="2"/>
      <c r="I98" s="2">
        <v>0</v>
      </c>
      <c r="J98" s="2"/>
      <c r="K98" s="30">
        <f t="shared" si="4"/>
        <v>146534</v>
      </c>
      <c r="L98" s="2"/>
      <c r="M98" s="2">
        <v>2138088</v>
      </c>
      <c r="N98" s="2"/>
      <c r="O98" s="30">
        <f t="shared" si="5"/>
        <v>200384</v>
      </c>
      <c r="P98" s="2"/>
      <c r="Q98" s="2">
        <v>35370</v>
      </c>
      <c r="R98" s="2"/>
      <c r="S98" s="2">
        <v>235754</v>
      </c>
      <c r="T98" s="2"/>
      <c r="U98" s="2"/>
      <c r="V98" s="2"/>
      <c r="W98" s="2">
        <v>44888</v>
      </c>
      <c r="X98" s="2"/>
      <c r="Y98" s="2">
        <v>0</v>
      </c>
      <c r="Z98" s="2"/>
      <c r="AA98" s="2">
        <v>1857446</v>
      </c>
      <c r="AB98" s="2"/>
      <c r="AC98" s="31">
        <f t="shared" si="6"/>
        <v>1902334</v>
      </c>
      <c r="AD98" s="19"/>
      <c r="AE98" s="2">
        <f t="shared" si="7"/>
        <v>0</v>
      </c>
    </row>
    <row r="99" spans="1:33" s="96" customFormat="1" hidden="1">
      <c r="A99" s="13" t="s">
        <v>419</v>
      </c>
      <c r="B99" s="19"/>
      <c r="C99" s="19" t="s">
        <v>218</v>
      </c>
      <c r="E99" s="19">
        <v>48546</v>
      </c>
      <c r="G99" s="2">
        <v>1164084</v>
      </c>
      <c r="H99" s="2"/>
      <c r="I99" s="2">
        <v>31513</v>
      </c>
      <c r="J99" s="2"/>
      <c r="K99" s="30">
        <f t="shared" si="4"/>
        <v>0</v>
      </c>
      <c r="L99" s="2"/>
      <c r="M99" s="2">
        <v>1195597</v>
      </c>
      <c r="N99" s="2"/>
      <c r="O99" s="30">
        <f t="shared" si="5"/>
        <v>0</v>
      </c>
      <c r="P99" s="2"/>
      <c r="Q99" s="2"/>
      <c r="R99" s="2"/>
      <c r="S99" s="2"/>
      <c r="T99" s="2"/>
      <c r="U99" s="2"/>
      <c r="V99" s="2"/>
      <c r="W99" s="2">
        <f>4200+31513</f>
        <v>35713</v>
      </c>
      <c r="X99" s="2"/>
      <c r="Y99" s="2">
        <v>0</v>
      </c>
      <c r="Z99" s="2"/>
      <c r="AA99" s="2">
        <v>1159884</v>
      </c>
      <c r="AB99" s="2"/>
      <c r="AC99" s="31">
        <f t="shared" si="6"/>
        <v>1195597</v>
      </c>
      <c r="AD99" s="19"/>
      <c r="AE99" s="2">
        <f t="shared" si="7"/>
        <v>0</v>
      </c>
      <c r="AG99" s="63" t="s">
        <v>373</v>
      </c>
    </row>
    <row r="100" spans="1:33" s="96" customFormat="1">
      <c r="A100" s="19" t="s">
        <v>219</v>
      </c>
      <c r="B100" s="19"/>
      <c r="C100" s="19" t="s">
        <v>220</v>
      </c>
      <c r="E100" s="19">
        <v>48603</v>
      </c>
      <c r="G100" s="2">
        <v>2851100</v>
      </c>
      <c r="H100" s="2"/>
      <c r="I100" s="2">
        <v>0</v>
      </c>
      <c r="J100" s="2"/>
      <c r="K100" s="30">
        <f t="shared" si="4"/>
        <v>84405</v>
      </c>
      <c r="L100" s="2"/>
      <c r="M100" s="2">
        <v>2935505</v>
      </c>
      <c r="N100" s="2"/>
      <c r="O100" s="30">
        <f t="shared" si="5"/>
        <v>1414312</v>
      </c>
      <c r="P100" s="2"/>
      <c r="Q100" s="2">
        <v>700</v>
      </c>
      <c r="R100" s="2"/>
      <c r="S100" s="2">
        <v>1415012</v>
      </c>
      <c r="T100" s="2"/>
      <c r="U100" s="2"/>
      <c r="V100" s="2"/>
      <c r="W100" s="2">
        <f>11540+7497+7045</f>
        <v>26082</v>
      </c>
      <c r="X100" s="2"/>
      <c r="Y100" s="2">
        <v>0</v>
      </c>
      <c r="Z100" s="2"/>
      <c r="AA100" s="2">
        <v>1494411</v>
      </c>
      <c r="AB100" s="2"/>
      <c r="AC100" s="31">
        <f t="shared" si="6"/>
        <v>1520493</v>
      </c>
      <c r="AD100" s="19"/>
      <c r="AE100" s="2">
        <f t="shared" si="7"/>
        <v>0</v>
      </c>
    </row>
    <row r="101" spans="1:33" s="96" customFormat="1" hidden="1">
      <c r="A101" s="2" t="s">
        <v>418</v>
      </c>
      <c r="B101" s="2"/>
      <c r="C101" s="2" t="s">
        <v>236</v>
      </c>
      <c r="E101" s="19"/>
      <c r="G101" s="2">
        <v>5738266</v>
      </c>
      <c r="H101" s="2"/>
      <c r="I101" s="2"/>
      <c r="J101" s="2"/>
      <c r="K101" s="30">
        <f>+M101-I101-G101</f>
        <v>0</v>
      </c>
      <c r="L101" s="2"/>
      <c r="M101" s="2">
        <v>5738266</v>
      </c>
      <c r="N101" s="2"/>
      <c r="O101" s="30">
        <f>+S101-Q101</f>
        <v>0</v>
      </c>
      <c r="P101" s="2"/>
      <c r="Q101" s="2"/>
      <c r="R101" s="2"/>
      <c r="S101" s="2"/>
      <c r="T101" s="2"/>
      <c r="U101" s="2"/>
      <c r="V101" s="2"/>
      <c r="W101" s="2"/>
      <c r="X101" s="2"/>
      <c r="Y101" s="2">
        <v>0</v>
      </c>
      <c r="Z101" s="2"/>
      <c r="AA101" s="2">
        <v>5738266</v>
      </c>
      <c r="AB101" s="2"/>
      <c r="AC101" s="31">
        <f>SUM(W101:AA101)</f>
        <v>5738266</v>
      </c>
      <c r="AD101" s="19"/>
      <c r="AE101" s="2">
        <f>+G101+I101+K101-O101-Q101-AA101-Y101-U101-W101</f>
        <v>0</v>
      </c>
      <c r="AG101" s="63" t="s">
        <v>373</v>
      </c>
    </row>
    <row r="102" spans="1:33" s="96" customFormat="1">
      <c r="A102" s="19" t="s">
        <v>221</v>
      </c>
      <c r="B102" s="19"/>
      <c r="C102" s="19" t="s">
        <v>222</v>
      </c>
      <c r="E102" s="19">
        <v>48660</v>
      </c>
      <c r="G102" s="2">
        <v>14513738</v>
      </c>
      <c r="H102" s="2"/>
      <c r="I102" s="2">
        <v>0</v>
      </c>
      <c r="J102" s="2"/>
      <c r="K102" s="30">
        <f t="shared" si="4"/>
        <v>1825026</v>
      </c>
      <c r="L102" s="2"/>
      <c r="M102" s="2">
        <v>16338764</v>
      </c>
      <c r="N102" s="2"/>
      <c r="O102" s="30">
        <f t="shared" si="5"/>
        <v>3534046</v>
      </c>
      <c r="P102" s="2"/>
      <c r="Q102" s="2">
        <v>126382</v>
      </c>
      <c r="R102" s="2"/>
      <c r="S102" s="2">
        <v>3660428</v>
      </c>
      <c r="T102" s="2"/>
      <c r="U102" s="2"/>
      <c r="V102" s="2"/>
      <c r="W102" s="2">
        <v>882074</v>
      </c>
      <c r="X102" s="2"/>
      <c r="Y102" s="2">
        <v>0</v>
      </c>
      <c r="Z102" s="2"/>
      <c r="AA102" s="2">
        <v>11796262</v>
      </c>
      <c r="AB102" s="2"/>
      <c r="AC102" s="31">
        <f t="shared" si="6"/>
        <v>12678336</v>
      </c>
      <c r="AD102" s="19"/>
      <c r="AE102" s="2">
        <f t="shared" si="7"/>
        <v>0</v>
      </c>
    </row>
    <row r="103" spans="1:33" s="96" customFormat="1">
      <c r="A103" s="19" t="s">
        <v>223</v>
      </c>
      <c r="B103" s="19"/>
      <c r="C103" s="19" t="s">
        <v>224</v>
      </c>
      <c r="E103" s="19">
        <v>125252</v>
      </c>
      <c r="G103" s="2">
        <v>2727942</v>
      </c>
      <c r="H103" s="2"/>
      <c r="I103" s="2">
        <v>0</v>
      </c>
      <c r="J103" s="2"/>
      <c r="K103" s="30">
        <f t="shared" si="4"/>
        <v>1294110</v>
      </c>
      <c r="L103" s="2"/>
      <c r="M103" s="2">
        <v>4022052</v>
      </c>
      <c r="N103" s="2"/>
      <c r="O103" s="30">
        <f t="shared" si="5"/>
        <v>1094353</v>
      </c>
      <c r="P103" s="2"/>
      <c r="Q103" s="2">
        <v>1516</v>
      </c>
      <c r="R103" s="2"/>
      <c r="S103" s="2">
        <v>1095869</v>
      </c>
      <c r="T103" s="2"/>
      <c r="U103" s="2"/>
      <c r="V103" s="2"/>
      <c r="W103" s="2">
        <f>211109+138814</f>
        <v>349923</v>
      </c>
      <c r="X103" s="2"/>
      <c r="Y103" s="2">
        <v>0</v>
      </c>
      <c r="Z103" s="2"/>
      <c r="AA103" s="2">
        <v>2576260</v>
      </c>
      <c r="AB103" s="2"/>
      <c r="AC103" s="31">
        <f t="shared" si="6"/>
        <v>2926183</v>
      </c>
      <c r="AD103" s="19"/>
      <c r="AE103" s="2">
        <f t="shared" si="7"/>
        <v>0</v>
      </c>
    </row>
    <row r="104" spans="1:33">
      <c r="A104" s="19" t="s">
        <v>374</v>
      </c>
      <c r="B104" s="19"/>
      <c r="C104" s="19" t="s">
        <v>244</v>
      </c>
      <c r="E104" s="19">
        <v>123257</v>
      </c>
      <c r="G104" s="2">
        <v>1640753</v>
      </c>
      <c r="H104" s="2"/>
      <c r="I104" s="2">
        <v>37449</v>
      </c>
      <c r="J104" s="2"/>
      <c r="K104" s="30">
        <f t="shared" si="4"/>
        <v>252226</v>
      </c>
      <c r="L104" s="2"/>
      <c r="M104" s="2">
        <v>1930428</v>
      </c>
      <c r="N104" s="2"/>
      <c r="O104" s="30">
        <f t="shared" si="5"/>
        <v>1400690</v>
      </c>
      <c r="P104" s="2"/>
      <c r="Q104" s="2">
        <f>16679+600</f>
        <v>17279</v>
      </c>
      <c r="R104" s="2"/>
      <c r="S104" s="2">
        <v>1417969</v>
      </c>
      <c r="T104" s="2"/>
      <c r="U104" s="2"/>
      <c r="V104" s="2"/>
      <c r="W104" s="2">
        <f>15600+25495</f>
        <v>41095</v>
      </c>
      <c r="X104" s="2"/>
      <c r="Y104" s="2">
        <v>0</v>
      </c>
      <c r="Z104" s="2"/>
      <c r="AA104" s="2">
        <v>471364</v>
      </c>
      <c r="AB104" s="2"/>
      <c r="AC104" s="31">
        <f t="shared" si="6"/>
        <v>512459</v>
      </c>
      <c r="AD104" s="19"/>
      <c r="AE104" s="2">
        <f t="shared" si="7"/>
        <v>0</v>
      </c>
    </row>
    <row r="105" spans="1:33" hidden="1">
      <c r="A105" s="19" t="s">
        <v>413</v>
      </c>
      <c r="B105" s="19"/>
      <c r="C105" s="19" t="s">
        <v>183</v>
      </c>
      <c r="E105" s="19"/>
      <c r="G105" s="2"/>
      <c r="H105" s="2"/>
      <c r="I105" s="2"/>
      <c r="J105" s="2"/>
      <c r="K105" s="30"/>
      <c r="L105" s="2"/>
      <c r="M105" s="2"/>
      <c r="N105" s="2"/>
      <c r="O105" s="30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31"/>
      <c r="AD105" s="19"/>
      <c r="AE105" s="2"/>
    </row>
    <row r="106" spans="1:33" hidden="1">
      <c r="A106" s="19" t="s">
        <v>187</v>
      </c>
      <c r="B106" s="19"/>
      <c r="C106" s="2" t="s">
        <v>275</v>
      </c>
      <c r="E106" s="19">
        <v>124297</v>
      </c>
      <c r="G106" s="2"/>
      <c r="H106" s="2"/>
      <c r="I106" s="2"/>
      <c r="J106" s="2"/>
      <c r="K106" s="30">
        <f t="shared" si="4"/>
        <v>0</v>
      </c>
      <c r="L106" s="2"/>
      <c r="M106" s="2"/>
      <c r="N106" s="2"/>
      <c r="O106" s="30">
        <f t="shared" si="5"/>
        <v>0</v>
      </c>
      <c r="P106" s="2"/>
      <c r="Q106" s="2"/>
      <c r="R106" s="2"/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/>
      <c r="AC106" s="31">
        <f t="shared" si="6"/>
        <v>0</v>
      </c>
      <c r="AD106" s="19"/>
      <c r="AE106" s="2">
        <f t="shared" si="7"/>
        <v>0</v>
      </c>
    </row>
    <row r="107" spans="1:33" hidden="1">
      <c r="A107" s="19" t="s">
        <v>353</v>
      </c>
      <c r="B107" s="19"/>
      <c r="C107" s="2" t="s">
        <v>363</v>
      </c>
      <c r="E107" s="19">
        <v>123521</v>
      </c>
      <c r="G107" s="2"/>
      <c r="H107" s="2"/>
      <c r="I107" s="2"/>
      <c r="J107" s="2"/>
      <c r="K107" s="30">
        <f t="shared" si="4"/>
        <v>0</v>
      </c>
      <c r="L107" s="2"/>
      <c r="M107" s="2"/>
      <c r="N107" s="2"/>
      <c r="O107" s="30">
        <f t="shared" si="5"/>
        <v>0</v>
      </c>
      <c r="P107" s="2"/>
      <c r="Q107" s="2"/>
      <c r="R107" s="2"/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/>
      <c r="AC107" s="31">
        <f t="shared" si="6"/>
        <v>0</v>
      </c>
      <c r="AD107" s="19"/>
      <c r="AE107" s="2">
        <f t="shared" si="7"/>
        <v>0</v>
      </c>
    </row>
    <row r="108" spans="1:33" s="96" customFormat="1">
      <c r="A108" s="19" t="s">
        <v>225</v>
      </c>
      <c r="B108" s="19"/>
      <c r="C108" s="19" t="s">
        <v>226</v>
      </c>
      <c r="E108" s="19">
        <v>125674</v>
      </c>
      <c r="G108" s="2">
        <v>321059</v>
      </c>
      <c r="H108" s="2"/>
      <c r="I108" s="2">
        <v>0</v>
      </c>
      <c r="J108" s="2"/>
      <c r="K108" s="30">
        <f t="shared" si="4"/>
        <v>86008</v>
      </c>
      <c r="L108" s="2"/>
      <c r="M108" s="2">
        <v>407067</v>
      </c>
      <c r="N108" s="2"/>
      <c r="O108" s="30">
        <f t="shared" si="5"/>
        <v>688252</v>
      </c>
      <c r="P108" s="2"/>
      <c r="Q108" s="2">
        <v>0</v>
      </c>
      <c r="R108" s="2"/>
      <c r="S108" s="2">
        <v>688252</v>
      </c>
      <c r="T108" s="2"/>
      <c r="U108" s="2"/>
      <c r="V108" s="2"/>
      <c r="W108" s="2">
        <v>8449</v>
      </c>
      <c r="X108" s="2"/>
      <c r="Y108" s="2">
        <v>0</v>
      </c>
      <c r="Z108" s="2"/>
      <c r="AA108" s="2">
        <v>-289634</v>
      </c>
      <c r="AB108" s="2"/>
      <c r="AC108" s="31">
        <f t="shared" si="6"/>
        <v>-281185</v>
      </c>
      <c r="AD108" s="19"/>
      <c r="AE108" s="2">
        <f t="shared" si="7"/>
        <v>0</v>
      </c>
      <c r="AG108" s="13"/>
    </row>
    <row r="109" spans="1:33" s="96" customFormat="1">
      <c r="A109" s="19" t="s">
        <v>227</v>
      </c>
      <c r="B109" s="19"/>
      <c r="C109" s="19" t="s">
        <v>228</v>
      </c>
      <c r="E109" s="19">
        <v>49072</v>
      </c>
      <c r="G109" s="2">
        <v>638603</v>
      </c>
      <c r="H109" s="2"/>
      <c r="I109" s="2">
        <v>0</v>
      </c>
      <c r="J109" s="2"/>
      <c r="K109" s="30">
        <f t="shared" si="4"/>
        <v>29073</v>
      </c>
      <c r="L109" s="2"/>
      <c r="M109" s="2">
        <v>667676</v>
      </c>
      <c r="N109" s="2"/>
      <c r="O109" s="30">
        <f t="shared" si="5"/>
        <v>238898</v>
      </c>
      <c r="P109" s="2"/>
      <c r="Q109" s="2">
        <v>0</v>
      </c>
      <c r="R109" s="2"/>
      <c r="S109" s="2">
        <v>238898</v>
      </c>
      <c r="T109" s="2"/>
      <c r="U109" s="2"/>
      <c r="V109" s="2"/>
      <c r="W109" s="2">
        <v>7181</v>
      </c>
      <c r="X109" s="2"/>
      <c r="Y109" s="2">
        <v>0</v>
      </c>
      <c r="Z109" s="2"/>
      <c r="AA109" s="2">
        <v>421597</v>
      </c>
      <c r="AB109" s="2"/>
      <c r="AC109" s="31">
        <f t="shared" si="6"/>
        <v>428778</v>
      </c>
      <c r="AD109" s="19"/>
      <c r="AE109" s="2">
        <f t="shared" si="7"/>
        <v>0</v>
      </c>
    </row>
    <row r="110" spans="1:33" s="96" customFormat="1">
      <c r="A110" s="19" t="s">
        <v>229</v>
      </c>
      <c r="B110" s="19"/>
      <c r="C110" s="19" t="s">
        <v>230</v>
      </c>
      <c r="E110" s="19">
        <v>49163</v>
      </c>
      <c r="G110" s="2">
        <v>1009275</v>
      </c>
      <c r="H110" s="2"/>
      <c r="I110" s="2">
        <v>0</v>
      </c>
      <c r="J110" s="2"/>
      <c r="K110" s="30">
        <f t="shared" si="4"/>
        <v>622142</v>
      </c>
      <c r="L110" s="2"/>
      <c r="M110" s="2">
        <v>1631417</v>
      </c>
      <c r="N110" s="2"/>
      <c r="O110" s="30">
        <f t="shared" si="5"/>
        <v>625567</v>
      </c>
      <c r="P110" s="2"/>
      <c r="Q110" s="2">
        <v>483729</v>
      </c>
      <c r="R110" s="2"/>
      <c r="S110" s="2">
        <v>1109296</v>
      </c>
      <c r="T110" s="2"/>
      <c r="U110" s="2"/>
      <c r="V110" s="2"/>
      <c r="W110" s="2">
        <v>30281</v>
      </c>
      <c r="X110" s="2"/>
      <c r="Y110" s="2">
        <v>0</v>
      </c>
      <c r="Z110" s="2"/>
      <c r="AA110" s="2">
        <v>491840</v>
      </c>
      <c r="AB110" s="2"/>
      <c r="AC110" s="31">
        <f t="shared" si="6"/>
        <v>522121</v>
      </c>
      <c r="AD110" s="19"/>
      <c r="AE110" s="2">
        <f t="shared" si="7"/>
        <v>0</v>
      </c>
    </row>
    <row r="111" spans="1:33" s="96" customFormat="1" hidden="1">
      <c r="A111" s="19" t="s">
        <v>421</v>
      </c>
      <c r="B111" s="19"/>
      <c r="C111" s="19" t="s">
        <v>232</v>
      </c>
      <c r="E111" s="19">
        <v>49254</v>
      </c>
      <c r="G111" s="2">
        <v>331716</v>
      </c>
      <c r="H111" s="2"/>
      <c r="I111" s="2"/>
      <c r="J111" s="2"/>
      <c r="K111" s="30">
        <f t="shared" si="4"/>
        <v>0</v>
      </c>
      <c r="L111" s="2"/>
      <c r="M111" s="2">
        <v>331716</v>
      </c>
      <c r="N111" s="2"/>
      <c r="O111" s="30">
        <f t="shared" si="5"/>
        <v>0</v>
      </c>
      <c r="P111" s="2"/>
      <c r="Q111" s="2"/>
      <c r="R111" s="2"/>
      <c r="S111" s="2"/>
      <c r="T111" s="2"/>
      <c r="U111" s="2"/>
      <c r="V111" s="2"/>
      <c r="W111" s="2">
        <v>69465</v>
      </c>
      <c r="X111" s="2"/>
      <c r="Y111" s="2">
        <v>0</v>
      </c>
      <c r="Z111" s="2"/>
      <c r="AA111" s="2">
        <v>262251</v>
      </c>
      <c r="AB111" s="2"/>
      <c r="AC111" s="31">
        <f t="shared" si="6"/>
        <v>331716</v>
      </c>
      <c r="AD111" s="19"/>
      <c r="AE111" s="2">
        <f t="shared" si="7"/>
        <v>0</v>
      </c>
      <c r="AG111" s="96" t="s">
        <v>373</v>
      </c>
    </row>
    <row r="112" spans="1:33" s="96" customFormat="1">
      <c r="A112" s="19" t="s">
        <v>233</v>
      </c>
      <c r="B112" s="19"/>
      <c r="C112" s="19" t="s">
        <v>234</v>
      </c>
      <c r="E112" s="19">
        <v>49304</v>
      </c>
      <c r="G112" s="2">
        <v>1264138</v>
      </c>
      <c r="H112" s="2"/>
      <c r="I112" s="2">
        <v>0</v>
      </c>
      <c r="J112" s="2"/>
      <c r="K112" s="30">
        <f t="shared" si="4"/>
        <v>22765</v>
      </c>
      <c r="L112" s="2"/>
      <c r="M112" s="2">
        <v>1286903</v>
      </c>
      <c r="N112" s="2"/>
      <c r="O112" s="30">
        <f t="shared" si="5"/>
        <v>548787</v>
      </c>
      <c r="P112" s="2"/>
      <c r="Q112" s="2">
        <v>5225</v>
      </c>
      <c r="R112" s="2"/>
      <c r="S112" s="2">
        <v>554012</v>
      </c>
      <c r="T112" s="2"/>
      <c r="U112" s="2"/>
      <c r="V112" s="2"/>
      <c r="W112" s="2">
        <v>62476</v>
      </c>
      <c r="X112" s="2"/>
      <c r="Y112" s="2">
        <v>0</v>
      </c>
      <c r="Z112" s="2"/>
      <c r="AA112" s="2">
        <v>670415</v>
      </c>
      <c r="AB112" s="2"/>
      <c r="AC112" s="31">
        <f t="shared" si="6"/>
        <v>732891</v>
      </c>
      <c r="AD112" s="19"/>
      <c r="AE112" s="2">
        <f t="shared" si="7"/>
        <v>0</v>
      </c>
    </row>
    <row r="113" spans="1:33">
      <c r="A113" s="19" t="s">
        <v>237</v>
      </c>
      <c r="B113" s="19"/>
      <c r="C113" s="19" t="s">
        <v>238</v>
      </c>
      <c r="E113" s="19">
        <v>138222</v>
      </c>
      <c r="G113" s="2">
        <v>2688385</v>
      </c>
      <c r="H113" s="2"/>
      <c r="I113" s="2">
        <v>0</v>
      </c>
      <c r="J113" s="2"/>
      <c r="K113" s="30">
        <f t="shared" si="4"/>
        <v>1142545</v>
      </c>
      <c r="L113" s="2"/>
      <c r="M113" s="2">
        <v>3830930</v>
      </c>
      <c r="N113" s="2"/>
      <c r="O113" s="30">
        <f t="shared" si="5"/>
        <v>823963</v>
      </c>
      <c r="P113" s="2"/>
      <c r="Q113" s="2">
        <v>184477</v>
      </c>
      <c r="R113" s="2"/>
      <c r="S113" s="2">
        <v>1008440</v>
      </c>
      <c r="T113" s="2"/>
      <c r="U113" s="2"/>
      <c r="V113" s="2"/>
      <c r="W113" s="2">
        <v>18393</v>
      </c>
      <c r="X113" s="2"/>
      <c r="Y113" s="2">
        <v>0</v>
      </c>
      <c r="Z113" s="2"/>
      <c r="AA113" s="2">
        <v>2804097</v>
      </c>
      <c r="AB113" s="2"/>
      <c r="AC113" s="31">
        <f t="shared" si="6"/>
        <v>2822490</v>
      </c>
      <c r="AD113" s="19"/>
      <c r="AE113" s="2">
        <f t="shared" si="7"/>
        <v>0</v>
      </c>
    </row>
    <row r="114" spans="1:33" hidden="1">
      <c r="A114" s="71" t="s">
        <v>239</v>
      </c>
      <c r="B114" s="19"/>
      <c r="C114" s="19" t="s">
        <v>240</v>
      </c>
      <c r="E114" s="19">
        <v>49551</v>
      </c>
      <c r="G114" s="2"/>
      <c r="H114" s="2"/>
      <c r="I114" s="2"/>
      <c r="J114" s="2"/>
      <c r="K114" s="30">
        <f t="shared" si="4"/>
        <v>0</v>
      </c>
      <c r="L114" s="2"/>
      <c r="M114" s="2"/>
      <c r="N114" s="2"/>
      <c r="O114" s="30">
        <f t="shared" si="5"/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>
        <v>0</v>
      </c>
      <c r="Z114" s="2"/>
      <c r="AA114" s="2"/>
      <c r="AB114" s="2"/>
      <c r="AC114" s="31">
        <f t="shared" si="6"/>
        <v>0</v>
      </c>
      <c r="AD114" s="19"/>
      <c r="AE114" s="2">
        <f t="shared" si="7"/>
        <v>0</v>
      </c>
      <c r="AG114" s="17" t="s">
        <v>425</v>
      </c>
    </row>
    <row r="115" spans="1:33" s="96" customFormat="1">
      <c r="A115" s="19" t="s">
        <v>245</v>
      </c>
      <c r="B115" s="19"/>
      <c r="C115" s="19" t="s">
        <v>246</v>
      </c>
      <c r="E115" s="19">
        <v>49742</v>
      </c>
      <c r="G115" s="2">
        <v>827152</v>
      </c>
      <c r="H115" s="2"/>
      <c r="I115" s="2">
        <v>0</v>
      </c>
      <c r="J115" s="2"/>
      <c r="K115" s="30">
        <f t="shared" si="4"/>
        <v>34998</v>
      </c>
      <c r="L115" s="2"/>
      <c r="M115" s="2">
        <v>862150</v>
      </c>
      <c r="N115" s="2"/>
      <c r="O115" s="30">
        <f t="shared" si="5"/>
        <v>469062</v>
      </c>
      <c r="P115" s="2"/>
      <c r="Q115" s="2">
        <v>0</v>
      </c>
      <c r="R115" s="2"/>
      <c r="S115" s="2">
        <v>469062</v>
      </c>
      <c r="T115" s="2"/>
      <c r="U115" s="2"/>
      <c r="V115" s="2"/>
      <c r="W115" s="2">
        <f>28988+2175+8440</f>
        <v>39603</v>
      </c>
      <c r="X115" s="2"/>
      <c r="Y115" s="2">
        <v>0</v>
      </c>
      <c r="Z115" s="2"/>
      <c r="AA115" s="2">
        <v>353485</v>
      </c>
      <c r="AB115" s="2"/>
      <c r="AC115" s="31">
        <f t="shared" si="6"/>
        <v>393088</v>
      </c>
      <c r="AD115" s="19"/>
      <c r="AE115" s="2">
        <f t="shared" si="7"/>
        <v>0</v>
      </c>
    </row>
    <row r="116" spans="1:33" s="96" customFormat="1">
      <c r="A116" s="19" t="s">
        <v>371</v>
      </c>
      <c r="B116" s="19"/>
      <c r="C116" s="19" t="s">
        <v>242</v>
      </c>
      <c r="E116" s="19">
        <v>125658</v>
      </c>
      <c r="G116" s="2">
        <v>1090142</v>
      </c>
      <c r="H116" s="2"/>
      <c r="I116" s="2">
        <v>0</v>
      </c>
      <c r="J116" s="2"/>
      <c r="K116" s="30">
        <f t="shared" si="4"/>
        <v>120855</v>
      </c>
      <c r="L116" s="2"/>
      <c r="M116" s="2">
        <v>1210997</v>
      </c>
      <c r="N116" s="2"/>
      <c r="O116" s="30">
        <f t="shared" si="5"/>
        <v>733952</v>
      </c>
      <c r="P116" s="2"/>
      <c r="Q116" s="2">
        <v>0</v>
      </c>
      <c r="R116" s="2"/>
      <c r="S116" s="2">
        <v>733952</v>
      </c>
      <c r="T116" s="2"/>
      <c r="U116" s="2"/>
      <c r="V116" s="2"/>
      <c r="W116" s="2">
        <v>59721</v>
      </c>
      <c r="X116" s="2"/>
      <c r="Y116" s="2">
        <v>0</v>
      </c>
      <c r="Z116" s="2"/>
      <c r="AA116" s="2">
        <v>417324</v>
      </c>
      <c r="AB116" s="2"/>
      <c r="AC116" s="31">
        <f t="shared" si="6"/>
        <v>477045</v>
      </c>
      <c r="AD116" s="19"/>
      <c r="AE116" s="2">
        <f t="shared" si="7"/>
        <v>0</v>
      </c>
    </row>
    <row r="117" spans="1:33" s="96" customFormat="1">
      <c r="A117" s="2" t="s">
        <v>370</v>
      </c>
      <c r="B117" s="2"/>
      <c r="C117" s="2" t="s">
        <v>173</v>
      </c>
      <c r="E117" s="19"/>
      <c r="G117" s="2">
        <v>2775044</v>
      </c>
      <c r="H117" s="2"/>
      <c r="I117" s="2">
        <v>0</v>
      </c>
      <c r="J117" s="2"/>
      <c r="K117" s="30">
        <f>+M117-I117-G117</f>
        <v>71770</v>
      </c>
      <c r="L117" s="2"/>
      <c r="M117" s="2">
        <v>2846814</v>
      </c>
      <c r="N117" s="2"/>
      <c r="O117" s="30">
        <f>+S117-Q117</f>
        <v>218606</v>
      </c>
      <c r="P117" s="2"/>
      <c r="Q117" s="2">
        <v>11829</v>
      </c>
      <c r="R117" s="2"/>
      <c r="S117" s="2">
        <v>230435</v>
      </c>
      <c r="T117" s="2"/>
      <c r="U117" s="2"/>
      <c r="V117" s="2"/>
      <c r="W117" s="2">
        <v>156960</v>
      </c>
      <c r="X117" s="2"/>
      <c r="Y117" s="2">
        <v>0</v>
      </c>
      <c r="Z117" s="2"/>
      <c r="AA117" s="2">
        <v>2459419</v>
      </c>
      <c r="AB117" s="2"/>
      <c r="AC117" s="31">
        <f>SUM(W117:AA117)</f>
        <v>2616379</v>
      </c>
      <c r="AD117" s="19"/>
      <c r="AE117" s="2">
        <f>+G117+I117+K117-O117-Q117-AA117-Y117-U117-W117</f>
        <v>0</v>
      </c>
      <c r="AG117" s="80" t="s">
        <v>411</v>
      </c>
    </row>
    <row r="118" spans="1:33" s="96" customFormat="1">
      <c r="A118" s="19" t="s">
        <v>247</v>
      </c>
      <c r="B118" s="19"/>
      <c r="C118" s="19" t="s">
        <v>248</v>
      </c>
      <c r="E118" s="19">
        <v>49825</v>
      </c>
      <c r="G118" s="2">
        <v>1062760</v>
      </c>
      <c r="H118" s="2"/>
      <c r="I118" s="2">
        <v>0</v>
      </c>
      <c r="J118" s="2"/>
      <c r="K118" s="30">
        <f t="shared" si="4"/>
        <v>2404838</v>
      </c>
      <c r="L118" s="2"/>
      <c r="M118" s="2">
        <v>3467598</v>
      </c>
      <c r="N118" s="2"/>
      <c r="O118" s="30">
        <f t="shared" si="5"/>
        <v>2200154</v>
      </c>
      <c r="P118" s="2"/>
      <c r="Q118" s="2">
        <v>973019</v>
      </c>
      <c r="R118" s="2"/>
      <c r="S118" s="2">
        <v>3173173</v>
      </c>
      <c r="T118" s="2"/>
      <c r="U118" s="2"/>
      <c r="V118" s="2"/>
      <c r="W118" s="2">
        <f>71154+6178</f>
        <v>77332</v>
      </c>
      <c r="X118" s="2"/>
      <c r="Y118" s="2">
        <v>0</v>
      </c>
      <c r="Z118" s="2"/>
      <c r="AA118" s="2">
        <v>217093</v>
      </c>
      <c r="AB118" s="2"/>
      <c r="AC118" s="31">
        <f t="shared" si="6"/>
        <v>294425</v>
      </c>
      <c r="AD118" s="19"/>
      <c r="AE118" s="2">
        <f t="shared" si="7"/>
        <v>0</v>
      </c>
      <c r="AG118" s="100" t="s">
        <v>424</v>
      </c>
    </row>
    <row r="119" spans="1:33" s="96" customFormat="1">
      <c r="A119" s="19" t="s">
        <v>249</v>
      </c>
      <c r="B119" s="19"/>
      <c r="C119" s="19" t="s">
        <v>250</v>
      </c>
      <c r="E119" s="19">
        <v>49965</v>
      </c>
      <c r="G119" s="2">
        <v>5678191</v>
      </c>
      <c r="H119" s="2"/>
      <c r="I119" s="2">
        <v>0</v>
      </c>
      <c r="J119" s="2"/>
      <c r="K119" s="30">
        <f t="shared" si="4"/>
        <v>2095058</v>
      </c>
      <c r="L119" s="2"/>
      <c r="M119" s="2">
        <v>7773249</v>
      </c>
      <c r="N119" s="2"/>
      <c r="O119" s="30">
        <f t="shared" si="5"/>
        <v>1005185</v>
      </c>
      <c r="P119" s="2"/>
      <c r="Q119" s="2">
        <v>1630970</v>
      </c>
      <c r="R119" s="2"/>
      <c r="S119" s="2">
        <v>2636155</v>
      </c>
      <c r="T119" s="2"/>
      <c r="U119" s="2"/>
      <c r="V119" s="2"/>
      <c r="W119" s="2">
        <v>90147</v>
      </c>
      <c r="X119" s="2"/>
      <c r="Y119" s="2">
        <f>148863+250000</f>
        <v>398863</v>
      </c>
      <c r="Z119" s="2"/>
      <c r="AA119" s="2">
        <v>4648084</v>
      </c>
      <c r="AB119" s="2"/>
      <c r="AC119" s="31">
        <f t="shared" si="6"/>
        <v>5137094</v>
      </c>
      <c r="AD119" s="19"/>
      <c r="AE119" s="2">
        <f t="shared" si="7"/>
        <v>0</v>
      </c>
    </row>
    <row r="120" spans="1:33" s="96" customFormat="1">
      <c r="A120" s="19" t="s">
        <v>261</v>
      </c>
      <c r="B120" s="19"/>
      <c r="C120" s="19" t="s">
        <v>262</v>
      </c>
      <c r="E120" s="19">
        <v>50526</v>
      </c>
      <c r="G120" s="2">
        <v>2494760</v>
      </c>
      <c r="H120" s="2"/>
      <c r="I120" s="2">
        <v>0</v>
      </c>
      <c r="J120" s="2"/>
      <c r="K120" s="30">
        <f t="shared" si="4"/>
        <v>734054</v>
      </c>
      <c r="L120" s="2"/>
      <c r="M120" s="2">
        <v>3228814</v>
      </c>
      <c r="N120" s="2"/>
      <c r="O120" s="30">
        <f t="shared" si="5"/>
        <v>1369977</v>
      </c>
      <c r="P120" s="2"/>
      <c r="Q120" s="2">
        <f>156384+8980</f>
        <v>165364</v>
      </c>
      <c r="R120" s="2"/>
      <c r="S120" s="2">
        <v>1535341</v>
      </c>
      <c r="T120" s="2"/>
      <c r="U120" s="2"/>
      <c r="V120" s="2"/>
      <c r="W120" s="2">
        <f>164551+43132</f>
        <v>207683</v>
      </c>
      <c r="X120" s="2"/>
      <c r="Y120" s="2">
        <v>0</v>
      </c>
      <c r="Z120" s="2"/>
      <c r="AA120" s="2">
        <v>1485790</v>
      </c>
      <c r="AB120" s="2"/>
      <c r="AC120" s="31">
        <f t="shared" si="6"/>
        <v>1693473</v>
      </c>
      <c r="AD120" s="19"/>
      <c r="AE120" s="2">
        <f t="shared" si="7"/>
        <v>0</v>
      </c>
    </row>
    <row r="121" spans="1:33" s="96" customFormat="1">
      <c r="A121" s="19" t="s">
        <v>251</v>
      </c>
      <c r="B121" s="19"/>
      <c r="C121" s="19" t="s">
        <v>252</v>
      </c>
      <c r="E121" s="19">
        <v>50088</v>
      </c>
      <c r="G121" s="2">
        <v>6342783</v>
      </c>
      <c r="H121" s="2"/>
      <c r="I121" s="2">
        <v>0</v>
      </c>
      <c r="J121" s="2"/>
      <c r="K121" s="30">
        <f t="shared" si="4"/>
        <v>1494443</v>
      </c>
      <c r="L121" s="2"/>
      <c r="M121" s="2">
        <v>7837226</v>
      </c>
      <c r="N121" s="2"/>
      <c r="O121" s="30">
        <f t="shared" si="5"/>
        <v>2354912</v>
      </c>
      <c r="P121" s="2"/>
      <c r="Q121" s="2">
        <f>1308652+465</f>
        <v>1309117</v>
      </c>
      <c r="R121" s="2"/>
      <c r="S121" s="2">
        <v>3664029</v>
      </c>
      <c r="T121" s="2"/>
      <c r="U121" s="2"/>
      <c r="V121" s="2"/>
      <c r="W121" s="2">
        <f>4275+26371</f>
        <v>30646</v>
      </c>
      <c r="X121" s="2"/>
      <c r="Y121" s="2">
        <v>0</v>
      </c>
      <c r="Z121" s="2"/>
      <c r="AA121" s="2">
        <v>4142551</v>
      </c>
      <c r="AB121" s="2"/>
      <c r="AC121" s="31">
        <f t="shared" si="6"/>
        <v>4173197</v>
      </c>
      <c r="AD121" s="19"/>
      <c r="AE121" s="2">
        <f t="shared" si="7"/>
        <v>0</v>
      </c>
    </row>
    <row r="122" spans="1:33" s="96" customFormat="1">
      <c r="A122" s="2" t="s">
        <v>389</v>
      </c>
      <c r="B122" s="19"/>
      <c r="C122" s="19" t="s">
        <v>254</v>
      </c>
      <c r="E122" s="19">
        <v>50260</v>
      </c>
      <c r="G122" s="2">
        <v>1125469</v>
      </c>
      <c r="H122" s="2"/>
      <c r="I122" s="2">
        <v>0</v>
      </c>
      <c r="J122" s="2"/>
      <c r="K122" s="30">
        <f t="shared" si="4"/>
        <v>244533</v>
      </c>
      <c r="L122" s="2"/>
      <c r="M122" s="2">
        <v>1370002</v>
      </c>
      <c r="N122" s="2"/>
      <c r="O122" s="30">
        <f t="shared" si="5"/>
        <v>494400</v>
      </c>
      <c r="P122" s="2"/>
      <c r="Q122" s="2">
        <v>70308</v>
      </c>
      <c r="R122" s="2"/>
      <c r="S122" s="2">
        <v>564708</v>
      </c>
      <c r="T122" s="2"/>
      <c r="U122" s="2"/>
      <c r="V122" s="2"/>
      <c r="W122" s="2">
        <v>0</v>
      </c>
      <c r="X122" s="2"/>
      <c r="Y122" s="2">
        <v>0</v>
      </c>
      <c r="Z122" s="2"/>
      <c r="AA122" s="2">
        <v>805294</v>
      </c>
      <c r="AB122" s="2"/>
      <c r="AC122" s="31">
        <f t="shared" si="6"/>
        <v>805294</v>
      </c>
      <c r="AD122" s="19"/>
      <c r="AE122" s="2">
        <f t="shared" si="7"/>
        <v>0</v>
      </c>
    </row>
    <row r="123" spans="1:33" s="96" customFormat="1" hidden="1">
      <c r="A123" s="19" t="s">
        <v>257</v>
      </c>
      <c r="B123" s="19"/>
      <c r="C123" s="19" t="s">
        <v>258</v>
      </c>
      <c r="E123" s="19">
        <v>50401</v>
      </c>
      <c r="G123" s="2">
        <v>2717986</v>
      </c>
      <c r="H123" s="2"/>
      <c r="I123" s="2"/>
      <c r="J123" s="2"/>
      <c r="K123" s="30">
        <f t="shared" si="4"/>
        <v>0</v>
      </c>
      <c r="L123" s="2"/>
      <c r="M123" s="2">
        <v>2717986</v>
      </c>
      <c r="N123" s="2"/>
      <c r="O123" s="30">
        <f t="shared" si="5"/>
        <v>0</v>
      </c>
      <c r="P123" s="2"/>
      <c r="Q123" s="2"/>
      <c r="R123" s="2"/>
      <c r="S123" s="2"/>
      <c r="T123" s="2"/>
      <c r="U123" s="2"/>
      <c r="V123" s="2"/>
      <c r="W123" s="2">
        <v>134773</v>
      </c>
      <c r="X123" s="2"/>
      <c r="Y123" s="2">
        <v>0</v>
      </c>
      <c r="Z123" s="2"/>
      <c r="AA123" s="2">
        <v>2583213</v>
      </c>
      <c r="AB123" s="2"/>
      <c r="AC123" s="31">
        <f>SUM(W123:AA123)</f>
        <v>2717986</v>
      </c>
      <c r="AD123" s="19"/>
      <c r="AE123" s="2">
        <f t="shared" si="7"/>
        <v>0</v>
      </c>
      <c r="AG123" s="13" t="s">
        <v>373</v>
      </c>
    </row>
    <row r="124" spans="1:33" s="96" customFormat="1" hidden="1">
      <c r="A124" s="71" t="s">
        <v>259</v>
      </c>
      <c r="B124" s="19"/>
      <c r="C124" s="19" t="s">
        <v>260</v>
      </c>
      <c r="E124" s="19">
        <v>50476</v>
      </c>
      <c r="AB124" s="2"/>
      <c r="AC124" s="31">
        <f t="shared" ref="AC124:AC125" si="8">SUM(W124:AA124)</f>
        <v>0</v>
      </c>
      <c r="AD124" s="19"/>
      <c r="AE124" s="2">
        <f t="shared" si="7"/>
        <v>0</v>
      </c>
      <c r="AG124" s="60" t="s">
        <v>428</v>
      </c>
    </row>
    <row r="125" spans="1:33" s="96" customFormat="1">
      <c r="A125" s="19" t="s">
        <v>255</v>
      </c>
      <c r="B125" s="19"/>
      <c r="C125" s="19" t="s">
        <v>358</v>
      </c>
      <c r="E125" s="19">
        <v>134999</v>
      </c>
      <c r="G125" s="2">
        <v>840370</v>
      </c>
      <c r="H125" s="2"/>
      <c r="I125" s="2">
        <v>0</v>
      </c>
      <c r="J125" s="2"/>
      <c r="K125" s="30">
        <f>+M125-I125-G125</f>
        <v>165453</v>
      </c>
      <c r="L125" s="2"/>
      <c r="M125" s="2">
        <v>1005823</v>
      </c>
      <c r="N125" s="2"/>
      <c r="O125" s="30">
        <f>+S125-Q125</f>
        <v>456351</v>
      </c>
      <c r="P125" s="2"/>
      <c r="Q125" s="2">
        <v>5005</v>
      </c>
      <c r="R125" s="2"/>
      <c r="S125" s="2">
        <v>461356</v>
      </c>
      <c r="T125" s="2"/>
      <c r="U125" s="2"/>
      <c r="V125" s="2"/>
      <c r="W125" s="2">
        <v>11044</v>
      </c>
      <c r="X125" s="2"/>
      <c r="Y125" s="2">
        <v>0</v>
      </c>
      <c r="Z125" s="2"/>
      <c r="AA125" s="2">
        <v>533423</v>
      </c>
      <c r="AB125" s="2"/>
      <c r="AC125" s="31">
        <f t="shared" si="8"/>
        <v>544467</v>
      </c>
      <c r="AD125" s="19"/>
      <c r="AE125" s="2">
        <f>+G125+I125+K125-O125-Q125-AA125-Y125-U125-W125</f>
        <v>0</v>
      </c>
    </row>
    <row r="126" spans="1:33" s="96" customFormat="1">
      <c r="A126" s="19" t="s">
        <v>263</v>
      </c>
      <c r="B126" s="19"/>
      <c r="C126" s="19" t="s">
        <v>264</v>
      </c>
      <c r="E126" s="19">
        <v>50666</v>
      </c>
      <c r="G126" s="2">
        <v>4910016</v>
      </c>
      <c r="H126" s="2"/>
      <c r="I126" s="2">
        <v>0</v>
      </c>
      <c r="J126" s="2"/>
      <c r="K126" s="30">
        <f t="shared" si="4"/>
        <v>103876</v>
      </c>
      <c r="L126" s="2"/>
      <c r="M126" s="2">
        <v>5013892</v>
      </c>
      <c r="N126" s="2"/>
      <c r="O126" s="30">
        <f t="shared" si="5"/>
        <v>1950100</v>
      </c>
      <c r="P126" s="2"/>
      <c r="Q126" s="2">
        <v>40951</v>
      </c>
      <c r="R126" s="2"/>
      <c r="S126" s="2">
        <v>1991051</v>
      </c>
      <c r="T126" s="2"/>
      <c r="U126" s="2"/>
      <c r="V126" s="2"/>
      <c r="W126" s="2">
        <v>20040</v>
      </c>
      <c r="X126" s="2"/>
      <c r="Y126" s="2">
        <v>0</v>
      </c>
      <c r="Z126" s="2"/>
      <c r="AA126" s="2">
        <v>3002801</v>
      </c>
      <c r="AB126" s="2"/>
      <c r="AC126" s="31">
        <f t="shared" si="6"/>
        <v>3022841</v>
      </c>
      <c r="AD126" s="19"/>
      <c r="AE126" s="2">
        <f>+G126+I126+K126-O126-Q126-AA126-Y126-U126-W126</f>
        <v>0</v>
      </c>
    </row>
    <row r="129" spans="7:29">
      <c r="G129" s="2"/>
      <c r="H129" s="2"/>
      <c r="I129" s="2"/>
      <c r="J129" s="2"/>
      <c r="K129" s="30"/>
      <c r="L129" s="2"/>
      <c r="M129" s="2"/>
      <c r="N129" s="2"/>
      <c r="O129" s="3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31"/>
    </row>
  </sheetData>
  <phoneticPr fontId="3" type="noConversion"/>
  <pageMargins left="0.75" right="0.75" top="0.5" bottom="0.5" header="0" footer="0.25"/>
  <pageSetup scale="85" firstPageNumber="22" fitToWidth="0" fitToHeight="0" pageOrder="overThenDown" orientation="portrait" useFirstPageNumber="1" horizontalDpi="300" verticalDpi="300" r:id="rId1"/>
  <headerFooter alignWithMargins="0">
    <oddFooter>&amp;C&amp;"Times New Roman,Regular"&amp;12&amp;P</oddFooter>
  </headerFooter>
  <rowBreaks count="1" manualBreakCount="1">
    <brk id="64" max="28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Y131"/>
  <sheetViews>
    <sheetView zoomScaleNormal="100" zoomScaleSheetLayoutView="70" workbookViewId="0">
      <pane xSplit="6" ySplit="9" topLeftCell="J10" activePane="bottomRight" state="frozen"/>
      <selection pane="topRight" activeCell="G1" sqref="G1"/>
      <selection pane="bottomLeft" activeCell="A10" sqref="A10"/>
      <selection pane="bottomRight" activeCell="AC9" sqref="AC9"/>
    </sheetView>
  </sheetViews>
  <sheetFormatPr defaultRowHeight="12.75"/>
  <cols>
    <col min="1" max="1" width="40.7109375" customWidth="1"/>
    <col min="2" max="2" width="1.7109375" customWidth="1"/>
    <col min="3" max="3" width="11.7109375" customWidth="1"/>
    <col min="4" max="4" width="1.7109375" hidden="1" customWidth="1"/>
    <col min="5" max="5" width="11.7109375" hidden="1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1.7109375" customWidth="1"/>
    <col min="29" max="29" width="40.7109375" customWidth="1"/>
    <col min="30" max="30" width="1.7109375" customWidth="1"/>
    <col min="31" max="31" width="11.7109375" customWidth="1"/>
    <col min="32" max="32" width="1.7109375" customWidth="1"/>
    <col min="33" max="33" width="11.7109375" customWidth="1"/>
    <col min="34" max="34" width="1.7109375" hidden="1" customWidth="1"/>
    <col min="35" max="35" width="11.7109375" hidden="1" customWidth="1"/>
    <col min="36" max="36" width="1.7109375" customWidth="1"/>
    <col min="37" max="37" width="11.7109375" customWidth="1"/>
    <col min="38" max="38" width="1.7109375" customWidth="1"/>
    <col min="39" max="39" width="11.7109375" customWidth="1"/>
    <col min="40" max="40" width="1.7109375" hidden="1" customWidth="1"/>
    <col min="41" max="41" width="11.7109375" hidden="1" customWidth="1"/>
    <col min="42" max="42" width="1.7109375" customWidth="1"/>
    <col min="43" max="43" width="11.7109375" customWidth="1"/>
    <col min="44" max="44" width="1.7109375" customWidth="1"/>
    <col min="45" max="45" width="11.7109375" customWidth="1"/>
    <col min="46" max="46" width="1.7109375" hidden="1" customWidth="1"/>
    <col min="47" max="47" width="11.7109375" hidden="1" customWidth="1"/>
    <col min="48" max="48" width="1.7109375" customWidth="1"/>
    <col min="49" max="49" width="11.7109375" customWidth="1"/>
    <col min="50" max="50" width="1.7109375" customWidth="1"/>
    <col min="51" max="51" width="11.7109375" customWidth="1"/>
  </cols>
  <sheetData>
    <row r="1" spans="1:51" s="3" customFormat="1" ht="12">
      <c r="A1" s="28" t="s">
        <v>103</v>
      </c>
      <c r="B1" s="28"/>
      <c r="C1" s="28"/>
      <c r="D1" s="28"/>
      <c r="E1" s="28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C1" s="28" t="s">
        <v>103</v>
      </c>
      <c r="AD1" s="28"/>
      <c r="AE1" s="28"/>
    </row>
    <row r="2" spans="1:51" s="3" customFormat="1" ht="12">
      <c r="A2" s="28" t="s">
        <v>391</v>
      </c>
      <c r="B2" s="28"/>
      <c r="C2" s="28"/>
      <c r="D2" s="28"/>
      <c r="E2" s="28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AC2" s="28" t="s">
        <v>391</v>
      </c>
      <c r="AD2" s="28"/>
      <c r="AE2" s="28"/>
    </row>
    <row r="3" spans="1:51" s="3" customFormat="1">
      <c r="A3" s="62" t="s">
        <v>348</v>
      </c>
      <c r="B3" s="28"/>
      <c r="C3" s="28"/>
      <c r="D3" s="28"/>
      <c r="E3" s="28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AC3" s="62" t="s">
        <v>348</v>
      </c>
      <c r="AD3" s="28"/>
      <c r="AE3" s="28"/>
    </row>
    <row r="4" spans="1:51" s="2" customFormat="1" ht="12">
      <c r="A4" s="18" t="s">
        <v>349</v>
      </c>
      <c r="B4" s="28"/>
      <c r="C4" s="28"/>
      <c r="D4" s="28"/>
      <c r="E4" s="2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C4" s="18" t="s">
        <v>349</v>
      </c>
      <c r="AD4" s="28"/>
      <c r="AE4" s="28"/>
    </row>
    <row r="5" spans="1:51" s="13" customFormat="1">
      <c r="A5" s="62"/>
      <c r="AW5" s="45" t="s">
        <v>9</v>
      </c>
    </row>
    <row r="6" spans="1:51" s="7" customFormat="1" ht="12">
      <c r="B6" s="8"/>
      <c r="C6" s="8"/>
      <c r="D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0" t="s">
        <v>104</v>
      </c>
      <c r="Z6" s="20"/>
      <c r="AA6" s="20"/>
      <c r="AB6" s="3"/>
      <c r="AC6" s="28"/>
      <c r="AD6" s="28"/>
      <c r="AE6" s="28"/>
      <c r="AF6" s="3"/>
      <c r="AG6" s="20" t="s">
        <v>104</v>
      </c>
      <c r="AH6" s="68"/>
      <c r="AI6" s="68"/>
      <c r="AJ6" s="68"/>
      <c r="AK6" s="68"/>
      <c r="AL6" s="68"/>
      <c r="AM6" s="68"/>
      <c r="AN6" s="68"/>
      <c r="AO6" s="68"/>
      <c r="AP6" s="68"/>
      <c r="AQ6" s="68"/>
      <c r="AU6" s="7" t="s">
        <v>9</v>
      </c>
      <c r="AW6" s="7" t="s">
        <v>35</v>
      </c>
    </row>
    <row r="7" spans="1:51" s="7" customFormat="1" ht="12">
      <c r="A7" s="83"/>
      <c r="B7" s="8"/>
      <c r="C7" s="8"/>
      <c r="D7" s="8"/>
      <c r="G7" s="8"/>
      <c r="H7" s="8"/>
      <c r="I7" s="8"/>
      <c r="J7" s="8"/>
      <c r="K7" s="8"/>
      <c r="L7" s="8"/>
      <c r="M7" s="8"/>
      <c r="N7" s="8"/>
      <c r="O7" s="8" t="s">
        <v>31</v>
      </c>
      <c r="P7" s="8"/>
      <c r="Q7" s="8" t="s">
        <v>105</v>
      </c>
      <c r="R7" s="8"/>
      <c r="S7" s="8" t="s">
        <v>33</v>
      </c>
      <c r="T7" s="8"/>
      <c r="U7" s="8"/>
      <c r="V7" s="8"/>
      <c r="W7" s="8"/>
      <c r="X7" s="8"/>
      <c r="AC7" s="8"/>
      <c r="AD7" s="8"/>
      <c r="AE7" s="8"/>
      <c r="AK7" s="7" t="s">
        <v>306</v>
      </c>
      <c r="AM7" s="7" t="s">
        <v>293</v>
      </c>
      <c r="AO7" s="7" t="s">
        <v>302</v>
      </c>
      <c r="AQ7" s="7" t="s">
        <v>73</v>
      </c>
      <c r="AU7" s="7" t="s">
        <v>89</v>
      </c>
      <c r="AW7" s="7" t="s">
        <v>106</v>
      </c>
    </row>
    <row r="8" spans="1:51" s="7" customFormat="1" ht="12">
      <c r="A8" s="8"/>
      <c r="B8" s="8"/>
      <c r="C8" s="8"/>
      <c r="D8" s="8"/>
      <c r="G8" s="8" t="s">
        <v>38</v>
      </c>
      <c r="H8" s="8"/>
      <c r="I8" s="8" t="s">
        <v>107</v>
      </c>
      <c r="J8" s="8"/>
      <c r="K8" s="8"/>
      <c r="L8" s="8"/>
      <c r="M8" s="8" t="s">
        <v>41</v>
      </c>
      <c r="N8" s="8"/>
      <c r="O8" s="8" t="s">
        <v>42</v>
      </c>
      <c r="P8" s="8"/>
      <c r="Q8" s="8" t="s">
        <v>108</v>
      </c>
      <c r="R8" s="8"/>
      <c r="S8" s="8" t="s">
        <v>44</v>
      </c>
      <c r="T8" s="8"/>
      <c r="U8" s="8" t="s">
        <v>73</v>
      </c>
      <c r="V8" s="8"/>
      <c r="W8" s="8" t="s">
        <v>9</v>
      </c>
      <c r="X8" s="8"/>
      <c r="Y8" s="8"/>
      <c r="AC8" s="8"/>
      <c r="AD8" s="8"/>
      <c r="AE8" s="8"/>
      <c r="AG8" s="7" t="s">
        <v>109</v>
      </c>
      <c r="AI8" s="7" t="s">
        <v>110</v>
      </c>
      <c r="AK8" s="7" t="s">
        <v>7</v>
      </c>
      <c r="AM8" s="7" t="s">
        <v>295</v>
      </c>
      <c r="AO8" s="7" t="s">
        <v>303</v>
      </c>
      <c r="AQ8" s="7" t="s">
        <v>111</v>
      </c>
      <c r="AS8" s="7" t="s">
        <v>34</v>
      </c>
      <c r="AU8" s="7" t="s">
        <v>111</v>
      </c>
      <c r="AW8" s="7" t="s">
        <v>111</v>
      </c>
    </row>
    <row r="9" spans="1:51" s="7" customFormat="1" ht="12">
      <c r="A9" s="105" t="s">
        <v>434</v>
      </c>
      <c r="C9" s="4" t="s">
        <v>13</v>
      </c>
      <c r="G9" s="11" t="s">
        <v>360</v>
      </c>
      <c r="H9" s="8"/>
      <c r="I9" s="11" t="s">
        <v>112</v>
      </c>
      <c r="J9" s="8"/>
      <c r="K9" s="11" t="s">
        <v>90</v>
      </c>
      <c r="L9" s="8"/>
      <c r="M9" s="11" t="s">
        <v>53</v>
      </c>
      <c r="N9" s="8"/>
      <c r="O9" s="11" t="s">
        <v>54</v>
      </c>
      <c r="P9" s="8"/>
      <c r="Q9" s="11" t="s">
        <v>113</v>
      </c>
      <c r="R9" s="12"/>
      <c r="S9" s="11" t="s">
        <v>55</v>
      </c>
      <c r="T9" s="8"/>
      <c r="U9" s="11" t="s">
        <v>101</v>
      </c>
      <c r="V9" s="8"/>
      <c r="W9" s="11" t="s">
        <v>35</v>
      </c>
      <c r="X9" s="8"/>
      <c r="Y9" s="4" t="s">
        <v>114</v>
      </c>
      <c r="AA9" s="4" t="s">
        <v>115</v>
      </c>
      <c r="AC9" s="118" t="s">
        <v>434</v>
      </c>
      <c r="AE9" s="4" t="s">
        <v>13</v>
      </c>
      <c r="AG9" s="4" t="s">
        <v>116</v>
      </c>
      <c r="AI9" s="4" t="s">
        <v>116</v>
      </c>
      <c r="AK9" s="4" t="s">
        <v>294</v>
      </c>
      <c r="AM9" s="4" t="s">
        <v>19</v>
      </c>
      <c r="AO9" s="4" t="s">
        <v>123</v>
      </c>
      <c r="AQ9" s="4" t="s">
        <v>117</v>
      </c>
      <c r="AS9" s="113" t="s">
        <v>318</v>
      </c>
      <c r="AU9" s="4" t="s">
        <v>117</v>
      </c>
      <c r="AW9" s="4" t="s">
        <v>117</v>
      </c>
    </row>
    <row r="10" spans="1:51" s="7" customFormat="1" ht="12">
      <c r="A10" s="8"/>
      <c r="C10" s="8"/>
      <c r="G10" s="12"/>
      <c r="H10" s="8"/>
      <c r="I10" s="12"/>
      <c r="J10" s="8"/>
      <c r="K10" s="12"/>
      <c r="L10" s="8"/>
      <c r="M10" s="12"/>
      <c r="N10" s="8"/>
      <c r="O10" s="12"/>
      <c r="P10" s="8"/>
      <c r="Q10" s="12"/>
      <c r="R10" s="12"/>
      <c r="S10" s="12"/>
      <c r="T10" s="8"/>
      <c r="U10" s="12"/>
      <c r="V10" s="8"/>
      <c r="W10" s="12"/>
      <c r="X10" s="8"/>
      <c r="Y10" s="8"/>
      <c r="AA10" s="8"/>
      <c r="AC10" s="8"/>
      <c r="AE10" s="8"/>
      <c r="AG10" s="8"/>
      <c r="AI10" s="8"/>
      <c r="AK10" s="8"/>
      <c r="AM10" s="8"/>
      <c r="AO10" s="8"/>
      <c r="AQ10" s="8"/>
      <c r="AU10" s="8"/>
      <c r="AW10" s="8"/>
    </row>
    <row r="11" spans="1:51">
      <c r="A11" s="54" t="s">
        <v>346</v>
      </c>
      <c r="AC11" s="54" t="s">
        <v>346</v>
      </c>
    </row>
    <row r="12" spans="1:51" s="65" customFormat="1" hidden="1">
      <c r="A12" s="13" t="s">
        <v>399</v>
      </c>
      <c r="B12" s="13"/>
      <c r="C12" s="13" t="s">
        <v>365</v>
      </c>
      <c r="G12" s="81">
        <v>3156792</v>
      </c>
      <c r="H12" s="81"/>
      <c r="I12" s="81">
        <v>6260307</v>
      </c>
      <c r="J12" s="81"/>
      <c r="K12" s="81">
        <v>191940</v>
      </c>
      <c r="L12" s="81"/>
      <c r="M12" s="81">
        <v>866689</v>
      </c>
      <c r="N12" s="81"/>
      <c r="O12" s="81">
        <v>0</v>
      </c>
      <c r="P12" s="81"/>
      <c r="Q12" s="81">
        <v>0</v>
      </c>
      <c r="R12" s="81"/>
      <c r="S12" s="81">
        <v>0</v>
      </c>
      <c r="T12" s="81"/>
      <c r="U12" s="81">
        <f>331838+180902</f>
        <v>512740</v>
      </c>
      <c r="V12" s="81"/>
      <c r="W12" s="59">
        <f>SUM(G12:V12)</f>
        <v>10988468</v>
      </c>
      <c r="X12" s="81"/>
      <c r="Y12" s="81">
        <v>0</v>
      </c>
      <c r="Z12" s="81"/>
      <c r="AA12" s="81">
        <v>5404</v>
      </c>
      <c r="AB12" s="81"/>
      <c r="AC12" s="13" t="s">
        <v>366</v>
      </c>
      <c r="AD12" s="13"/>
      <c r="AE12" s="13" t="s">
        <v>365</v>
      </c>
      <c r="AF12" s="81"/>
      <c r="AG12" s="81">
        <v>0</v>
      </c>
      <c r="AH12" s="81"/>
      <c r="AI12" s="81">
        <v>0</v>
      </c>
      <c r="AJ12" s="81"/>
      <c r="AK12" s="81">
        <v>0</v>
      </c>
      <c r="AL12" s="81"/>
      <c r="AM12" s="81">
        <v>0</v>
      </c>
      <c r="AN12" s="81"/>
      <c r="AO12" s="81">
        <v>0</v>
      </c>
      <c r="AP12" s="81"/>
      <c r="AQ12" s="81">
        <v>0</v>
      </c>
      <c r="AR12" s="81"/>
      <c r="AS12" s="81">
        <v>0</v>
      </c>
      <c r="AT12" s="81"/>
      <c r="AU12" s="81">
        <f>SUM(Y12:AS12)</f>
        <v>5404</v>
      </c>
      <c r="AV12" s="81"/>
      <c r="AW12" s="81">
        <f t="shared" ref="AW12:AW43" si="0">+AU12+W12</f>
        <v>10993872</v>
      </c>
      <c r="AY12" s="60" t="s">
        <v>400</v>
      </c>
    </row>
    <row r="13" spans="1:51" s="65" customFormat="1">
      <c r="A13" s="13" t="s">
        <v>323</v>
      </c>
      <c r="B13" s="60"/>
      <c r="C13" s="60" t="s">
        <v>155</v>
      </c>
      <c r="E13" s="60">
        <v>62042</v>
      </c>
      <c r="G13" s="81">
        <v>2612291</v>
      </c>
      <c r="H13" s="81"/>
      <c r="I13" s="81">
        <v>2911632</v>
      </c>
      <c r="J13" s="81"/>
      <c r="K13" s="81">
        <v>42183</v>
      </c>
      <c r="L13" s="81"/>
      <c r="M13" s="81">
        <v>16872</v>
      </c>
      <c r="N13" s="81"/>
      <c r="O13" s="81">
        <v>0</v>
      </c>
      <c r="P13" s="81"/>
      <c r="Q13" s="81">
        <v>0</v>
      </c>
      <c r="R13" s="81"/>
      <c r="S13" s="81">
        <v>120</v>
      </c>
      <c r="T13" s="81"/>
      <c r="U13" s="81">
        <f>3025+111366+62777</f>
        <v>177168</v>
      </c>
      <c r="V13" s="81"/>
      <c r="W13" s="59">
        <f>SUM(G13:V13)</f>
        <v>5760266</v>
      </c>
      <c r="X13" s="81"/>
      <c r="Y13" s="81">
        <v>0</v>
      </c>
      <c r="Z13" s="81"/>
      <c r="AA13" s="81">
        <v>0</v>
      </c>
      <c r="AB13" s="81"/>
      <c r="AC13" s="13" t="s">
        <v>323</v>
      </c>
      <c r="AD13" s="60"/>
      <c r="AE13" s="60" t="s">
        <v>155</v>
      </c>
      <c r="AF13" s="81"/>
      <c r="AG13" s="81">
        <v>0</v>
      </c>
      <c r="AH13" s="81"/>
      <c r="AI13" s="81">
        <v>0</v>
      </c>
      <c r="AJ13" s="81"/>
      <c r="AK13" s="81">
        <v>0</v>
      </c>
      <c r="AL13" s="81"/>
      <c r="AM13" s="13">
        <v>15695</v>
      </c>
      <c r="AN13" s="81"/>
      <c r="AO13" s="81">
        <v>0</v>
      </c>
      <c r="AP13" s="81"/>
      <c r="AQ13" s="81">
        <v>0</v>
      </c>
      <c r="AR13" s="81"/>
      <c r="AS13" s="81">
        <v>0</v>
      </c>
      <c r="AT13" s="81"/>
      <c r="AU13" s="81">
        <f>SUM(Y13:AS13)</f>
        <v>15695</v>
      </c>
      <c r="AV13" s="81"/>
      <c r="AW13" s="81">
        <f t="shared" si="0"/>
        <v>5775961</v>
      </c>
      <c r="AY13" s="13" t="s">
        <v>401</v>
      </c>
    </row>
    <row r="14" spans="1:51" s="65" customFormat="1">
      <c r="A14" s="13" t="s">
        <v>265</v>
      </c>
      <c r="B14" s="60"/>
      <c r="C14" s="60" t="s">
        <v>156</v>
      </c>
      <c r="E14" s="60">
        <v>50815</v>
      </c>
      <c r="G14" s="13">
        <v>3838491</v>
      </c>
      <c r="H14" s="13"/>
      <c r="I14" s="13">
        <v>6499811</v>
      </c>
      <c r="J14" s="13"/>
      <c r="K14" s="13">
        <v>259502</v>
      </c>
      <c r="L14" s="13"/>
      <c r="M14" s="13">
        <v>33170</v>
      </c>
      <c r="N14" s="13"/>
      <c r="O14" s="13">
        <v>0</v>
      </c>
      <c r="P14" s="13"/>
      <c r="Q14" s="13">
        <v>0</v>
      </c>
      <c r="R14" s="13"/>
      <c r="S14" s="13">
        <v>0</v>
      </c>
      <c r="T14" s="13"/>
      <c r="U14" s="13">
        <f>22144+135913</f>
        <v>158057</v>
      </c>
      <c r="V14" s="13"/>
      <c r="W14" s="30">
        <f>SUM(G14:V14)</f>
        <v>10789031</v>
      </c>
      <c r="X14" s="13"/>
      <c r="Y14" s="13">
        <v>0</v>
      </c>
      <c r="Z14" s="13"/>
      <c r="AA14" s="13">
        <v>0</v>
      </c>
      <c r="AB14" s="13"/>
      <c r="AC14" s="13" t="s">
        <v>265</v>
      </c>
      <c r="AD14" s="60"/>
      <c r="AE14" s="60" t="s">
        <v>156</v>
      </c>
      <c r="AF14" s="13"/>
      <c r="AG14" s="13">
        <v>0</v>
      </c>
      <c r="AH14" s="13"/>
      <c r="AI14" s="13">
        <v>0</v>
      </c>
      <c r="AJ14" s="13"/>
      <c r="AK14" s="13">
        <v>0</v>
      </c>
      <c r="AL14" s="13"/>
      <c r="AM14" s="13">
        <v>0</v>
      </c>
      <c r="AN14" s="13"/>
      <c r="AO14" s="13">
        <v>0</v>
      </c>
      <c r="AP14" s="13"/>
      <c r="AQ14" s="13">
        <v>0</v>
      </c>
      <c r="AR14" s="13"/>
      <c r="AS14" s="13">
        <v>0</v>
      </c>
      <c r="AT14" s="13"/>
      <c r="AU14" s="13">
        <f>SUM(Y14:AS14)</f>
        <v>0</v>
      </c>
      <c r="AV14" s="13"/>
      <c r="AW14" s="13">
        <f t="shared" si="0"/>
        <v>10789031</v>
      </c>
      <c r="AY14" s="13" t="s">
        <v>401</v>
      </c>
    </row>
    <row r="15" spans="1:51" s="65" customFormat="1">
      <c r="A15" s="13" t="s">
        <v>277</v>
      </c>
      <c r="B15" s="60"/>
      <c r="C15" s="60" t="s">
        <v>158</v>
      </c>
      <c r="E15" s="60">
        <v>51169</v>
      </c>
      <c r="G15" s="13">
        <v>6353205</v>
      </c>
      <c r="H15" s="13"/>
      <c r="I15" s="13">
        <v>3260104</v>
      </c>
      <c r="J15" s="13"/>
      <c r="K15" s="13">
        <v>152098</v>
      </c>
      <c r="L15" s="13"/>
      <c r="M15" s="13">
        <v>46380</v>
      </c>
      <c r="N15" s="13"/>
      <c r="O15" s="13">
        <v>0</v>
      </c>
      <c r="P15" s="13"/>
      <c r="Q15" s="13">
        <v>0</v>
      </c>
      <c r="R15" s="13"/>
      <c r="S15" s="13">
        <v>0</v>
      </c>
      <c r="T15" s="13"/>
      <c r="U15" s="13">
        <f>119295+116845+7020</f>
        <v>243160</v>
      </c>
      <c r="V15" s="13"/>
      <c r="W15" s="30">
        <f t="shared" ref="W15:W62" si="1">SUM(G15:V15)</f>
        <v>10054947</v>
      </c>
      <c r="X15" s="13"/>
      <c r="Y15" s="13">
        <v>0</v>
      </c>
      <c r="Z15" s="13"/>
      <c r="AA15" s="13">
        <v>0</v>
      </c>
      <c r="AB15" s="13"/>
      <c r="AC15" s="13" t="s">
        <v>277</v>
      </c>
      <c r="AD15" s="60"/>
      <c r="AE15" s="60" t="s">
        <v>158</v>
      </c>
      <c r="AF15" s="13"/>
      <c r="AG15" s="13">
        <v>0</v>
      </c>
      <c r="AH15" s="13"/>
      <c r="AI15" s="13">
        <v>0</v>
      </c>
      <c r="AJ15" s="13"/>
      <c r="AK15" s="13">
        <v>0</v>
      </c>
      <c r="AL15" s="13"/>
      <c r="AM15" s="13">
        <v>0</v>
      </c>
      <c r="AN15" s="13"/>
      <c r="AO15" s="13">
        <v>0</v>
      </c>
      <c r="AP15" s="13"/>
      <c r="AQ15" s="13">
        <v>0</v>
      </c>
      <c r="AR15" s="13"/>
      <c r="AS15" s="13">
        <v>0</v>
      </c>
      <c r="AT15" s="13"/>
      <c r="AU15" s="13">
        <f t="shared" ref="AU15:AU62" si="2">SUM(Y15:AS15)</f>
        <v>0</v>
      </c>
      <c r="AV15" s="13"/>
      <c r="AW15" s="13">
        <f t="shared" si="0"/>
        <v>10054947</v>
      </c>
      <c r="AY15" s="13" t="s">
        <v>401</v>
      </c>
    </row>
    <row r="16" spans="1:51" s="65" customFormat="1">
      <c r="A16" s="13" t="s">
        <v>267</v>
      </c>
      <c r="B16" s="60"/>
      <c r="C16" s="60" t="s">
        <v>162</v>
      </c>
      <c r="E16" s="60">
        <v>50856</v>
      </c>
      <c r="G16" s="13">
        <v>1438562</v>
      </c>
      <c r="H16" s="13"/>
      <c r="I16" s="13">
        <v>4607785</v>
      </c>
      <c r="J16" s="13"/>
      <c r="K16" s="13">
        <v>26377</v>
      </c>
      <c r="L16" s="13"/>
      <c r="M16" s="13">
        <v>105065</v>
      </c>
      <c r="N16" s="13"/>
      <c r="O16" s="13">
        <v>4936</v>
      </c>
      <c r="P16" s="13"/>
      <c r="Q16" s="13">
        <v>0</v>
      </c>
      <c r="R16" s="13"/>
      <c r="S16" s="13">
        <v>0</v>
      </c>
      <c r="T16" s="13"/>
      <c r="U16" s="13">
        <f>18779+11285+12000</f>
        <v>42064</v>
      </c>
      <c r="V16" s="13"/>
      <c r="W16" s="30">
        <f t="shared" si="1"/>
        <v>6224789</v>
      </c>
      <c r="X16" s="13"/>
      <c r="Y16" s="13">
        <v>0</v>
      </c>
      <c r="Z16" s="13"/>
      <c r="AA16" s="13">
        <v>0</v>
      </c>
      <c r="AB16" s="13"/>
      <c r="AC16" s="13" t="s">
        <v>267</v>
      </c>
      <c r="AD16" s="60"/>
      <c r="AE16" s="60" t="s">
        <v>162</v>
      </c>
      <c r="AF16" s="13"/>
      <c r="AG16" s="13">
        <v>0</v>
      </c>
      <c r="AH16" s="13"/>
      <c r="AI16" s="13">
        <v>0</v>
      </c>
      <c r="AJ16" s="13"/>
      <c r="AK16" s="13">
        <v>0</v>
      </c>
      <c r="AL16" s="13"/>
      <c r="AM16" s="13">
        <v>2612</v>
      </c>
      <c r="AN16" s="13"/>
      <c r="AO16" s="13">
        <v>0</v>
      </c>
      <c r="AP16" s="13"/>
      <c r="AQ16" s="13">
        <v>0</v>
      </c>
      <c r="AR16" s="13"/>
      <c r="AS16" s="13">
        <v>0</v>
      </c>
      <c r="AT16" s="13"/>
      <c r="AU16" s="13">
        <f t="shared" si="2"/>
        <v>2612</v>
      </c>
      <c r="AV16" s="13"/>
      <c r="AW16" s="13">
        <f t="shared" si="0"/>
        <v>6227401</v>
      </c>
      <c r="AY16" s="13" t="s">
        <v>401</v>
      </c>
    </row>
    <row r="17" spans="1:51">
      <c r="A17" s="13" t="s">
        <v>290</v>
      </c>
      <c r="B17" s="19"/>
      <c r="C17" s="19" t="s">
        <v>254</v>
      </c>
      <c r="E17" s="19">
        <v>51656</v>
      </c>
      <c r="G17" s="2">
        <v>4001417</v>
      </c>
      <c r="H17" s="2"/>
      <c r="I17" s="2">
        <v>7413440</v>
      </c>
      <c r="J17" s="2"/>
      <c r="K17" s="2">
        <v>324090</v>
      </c>
      <c r="L17" s="2"/>
      <c r="M17" s="2">
        <v>0</v>
      </c>
      <c r="N17" s="2"/>
      <c r="O17" s="2">
        <v>0</v>
      </c>
      <c r="P17" s="2"/>
      <c r="Q17" s="2">
        <v>0</v>
      </c>
      <c r="R17" s="2"/>
      <c r="S17" s="2">
        <v>0</v>
      </c>
      <c r="T17" s="2"/>
      <c r="U17" s="2">
        <v>385571</v>
      </c>
      <c r="V17" s="2"/>
      <c r="W17" s="30">
        <f t="shared" si="1"/>
        <v>12124518</v>
      </c>
      <c r="X17" s="2"/>
      <c r="Y17" s="2">
        <v>0</v>
      </c>
      <c r="Z17" s="2"/>
      <c r="AA17" s="2">
        <v>148368</v>
      </c>
      <c r="AB17" s="2"/>
      <c r="AC17" s="13" t="s">
        <v>290</v>
      </c>
      <c r="AD17" s="19"/>
      <c r="AE17" s="19" t="s">
        <v>254</v>
      </c>
      <c r="AF17" s="2"/>
      <c r="AG17" s="2">
        <v>0</v>
      </c>
      <c r="AH17" s="2"/>
      <c r="AI17" s="2">
        <v>0</v>
      </c>
      <c r="AJ17" s="2"/>
      <c r="AK17" s="2">
        <v>0</v>
      </c>
      <c r="AL17" s="2"/>
      <c r="AM17" s="2">
        <v>0</v>
      </c>
      <c r="AN17" s="2"/>
      <c r="AO17" s="2">
        <v>0</v>
      </c>
      <c r="AP17" s="2"/>
      <c r="AQ17" s="2">
        <v>0</v>
      </c>
      <c r="AR17" s="2"/>
      <c r="AS17" s="2">
        <v>0</v>
      </c>
      <c r="AT17" s="2"/>
      <c r="AU17" s="2">
        <f t="shared" si="2"/>
        <v>148368</v>
      </c>
      <c r="AV17" s="2"/>
      <c r="AW17" s="2">
        <f t="shared" si="0"/>
        <v>12272886</v>
      </c>
    </row>
    <row r="18" spans="1:51">
      <c r="A18" s="13" t="s">
        <v>388</v>
      </c>
      <c r="B18" s="19"/>
      <c r="C18" s="19" t="s">
        <v>159</v>
      </c>
      <c r="E18" s="19">
        <v>50880</v>
      </c>
      <c r="G18" s="2">
        <v>12460614</v>
      </c>
      <c r="H18" s="2"/>
      <c r="I18" s="2">
        <v>24776780</v>
      </c>
      <c r="J18" s="2"/>
      <c r="K18" s="2">
        <v>208643</v>
      </c>
      <c r="L18" s="2"/>
      <c r="M18" s="2">
        <v>944698</v>
      </c>
      <c r="N18" s="2"/>
      <c r="O18" s="2">
        <v>0</v>
      </c>
      <c r="P18" s="2"/>
      <c r="Q18" s="2">
        <v>0</v>
      </c>
      <c r="R18" s="2"/>
      <c r="S18" s="2">
        <v>0</v>
      </c>
      <c r="T18" s="2"/>
      <c r="U18" s="2">
        <v>1016587</v>
      </c>
      <c r="V18" s="2"/>
      <c r="W18" s="30">
        <f t="shared" si="1"/>
        <v>39407322</v>
      </c>
      <c r="X18" s="2"/>
      <c r="Y18" s="2">
        <v>0</v>
      </c>
      <c r="Z18" s="2"/>
      <c r="AA18" s="2">
        <v>0</v>
      </c>
      <c r="AB18" s="2"/>
      <c r="AC18" s="13" t="s">
        <v>322</v>
      </c>
      <c r="AD18" s="19"/>
      <c r="AE18" s="19" t="s">
        <v>159</v>
      </c>
      <c r="AF18" s="2"/>
      <c r="AG18" s="2">
        <v>0</v>
      </c>
      <c r="AH18" s="2"/>
      <c r="AI18" s="2">
        <v>0</v>
      </c>
      <c r="AJ18" s="2"/>
      <c r="AK18" s="2">
        <v>0</v>
      </c>
      <c r="AL18" s="2"/>
      <c r="AM18" s="2">
        <v>0</v>
      </c>
      <c r="AN18" s="2"/>
      <c r="AO18" s="2">
        <v>0</v>
      </c>
      <c r="AP18" s="2"/>
      <c r="AQ18" s="2">
        <v>0</v>
      </c>
      <c r="AR18" s="2"/>
      <c r="AS18" s="2">
        <v>0</v>
      </c>
      <c r="AT18" s="2"/>
      <c r="AU18" s="2">
        <f t="shared" si="2"/>
        <v>0</v>
      </c>
      <c r="AV18" s="2"/>
      <c r="AW18" s="2">
        <f t="shared" si="0"/>
        <v>39407322</v>
      </c>
    </row>
    <row r="19" spans="1:51" s="65" customFormat="1" hidden="1">
      <c r="A19" s="17" t="s">
        <v>396</v>
      </c>
      <c r="B19" s="60"/>
      <c r="C19" s="60" t="s">
        <v>282</v>
      </c>
      <c r="E19" s="60">
        <v>63511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0">
        <f t="shared" si="1"/>
        <v>0</v>
      </c>
      <c r="X19" s="13"/>
      <c r="Y19" s="13">
        <v>0</v>
      </c>
      <c r="Z19" s="13"/>
      <c r="AA19" s="13">
        <v>0</v>
      </c>
      <c r="AB19" s="13"/>
      <c r="AC19" s="17" t="s">
        <v>396</v>
      </c>
      <c r="AD19" s="60"/>
      <c r="AE19" s="60" t="s">
        <v>282</v>
      </c>
      <c r="AF19" s="13"/>
      <c r="AG19" s="13">
        <v>0</v>
      </c>
      <c r="AH19" s="13"/>
      <c r="AI19" s="13">
        <v>0</v>
      </c>
      <c r="AJ19" s="13"/>
      <c r="AK19" s="13">
        <v>0</v>
      </c>
      <c r="AL19" s="13"/>
      <c r="AM19" s="13">
        <v>0</v>
      </c>
      <c r="AN19" s="13"/>
      <c r="AO19" s="13">
        <v>0</v>
      </c>
      <c r="AP19" s="13"/>
      <c r="AQ19" s="13">
        <v>0</v>
      </c>
      <c r="AR19" s="13"/>
      <c r="AS19" s="13">
        <v>0</v>
      </c>
      <c r="AT19" s="13"/>
      <c r="AU19" s="13">
        <f t="shared" si="2"/>
        <v>0</v>
      </c>
      <c r="AV19" s="13"/>
      <c r="AW19" s="13">
        <f t="shared" si="0"/>
        <v>0</v>
      </c>
      <c r="AY19" s="80" t="s">
        <v>397</v>
      </c>
    </row>
    <row r="20" spans="1:51">
      <c r="A20" s="13" t="s">
        <v>392</v>
      </c>
      <c r="B20" s="19"/>
      <c r="C20" s="19" t="s">
        <v>175</v>
      </c>
      <c r="E20" s="19">
        <v>50906</v>
      </c>
      <c r="G20" s="2">
        <v>1878149</v>
      </c>
      <c r="H20" s="2"/>
      <c r="I20" s="2">
        <v>3664018</v>
      </c>
      <c r="J20" s="2"/>
      <c r="K20" s="2">
        <v>0</v>
      </c>
      <c r="L20" s="2"/>
      <c r="M20" s="2">
        <v>195010</v>
      </c>
      <c r="N20" s="2"/>
      <c r="O20" s="2">
        <v>0</v>
      </c>
      <c r="P20" s="2"/>
      <c r="Q20" s="2">
        <v>0</v>
      </c>
      <c r="R20" s="2"/>
      <c r="S20" s="2">
        <v>0</v>
      </c>
      <c r="T20" s="2"/>
      <c r="U20" s="2">
        <v>72805</v>
      </c>
      <c r="V20" s="2"/>
      <c r="W20" s="30">
        <f t="shared" si="1"/>
        <v>5809982</v>
      </c>
      <c r="X20" s="2"/>
      <c r="Y20" s="2">
        <v>0</v>
      </c>
      <c r="Z20" s="2"/>
      <c r="AA20" s="2">
        <v>0</v>
      </c>
      <c r="AB20" s="2"/>
      <c r="AC20" s="13" t="s">
        <v>271</v>
      </c>
      <c r="AD20" s="19"/>
      <c r="AE20" s="19" t="s">
        <v>175</v>
      </c>
      <c r="AF20" s="2"/>
      <c r="AG20" s="2">
        <v>0</v>
      </c>
      <c r="AH20" s="2"/>
      <c r="AI20" s="2">
        <v>0</v>
      </c>
      <c r="AJ20" s="2"/>
      <c r="AK20" s="2">
        <v>0</v>
      </c>
      <c r="AL20" s="2"/>
      <c r="AM20" s="2">
        <v>0</v>
      </c>
      <c r="AN20" s="2"/>
      <c r="AO20" s="2">
        <v>0</v>
      </c>
      <c r="AP20" s="2"/>
      <c r="AQ20" s="2">
        <v>0</v>
      </c>
      <c r="AR20" s="2"/>
      <c r="AS20" s="2">
        <v>0</v>
      </c>
      <c r="AT20" s="2"/>
      <c r="AU20" s="2">
        <f t="shared" si="2"/>
        <v>0</v>
      </c>
      <c r="AV20" s="2"/>
      <c r="AW20" s="2">
        <f t="shared" si="0"/>
        <v>5809982</v>
      </c>
    </row>
    <row r="21" spans="1:51">
      <c r="A21" s="13" t="s">
        <v>328</v>
      </c>
      <c r="B21" s="19"/>
      <c r="C21" s="19" t="s">
        <v>272</v>
      </c>
      <c r="E21" s="19">
        <v>65227</v>
      </c>
      <c r="G21" s="2">
        <v>1173116</v>
      </c>
      <c r="H21" s="2"/>
      <c r="I21" s="2">
        <v>2317055</v>
      </c>
      <c r="J21" s="2"/>
      <c r="K21" s="2">
        <v>6396</v>
      </c>
      <c r="L21" s="2"/>
      <c r="M21" s="2">
        <v>0</v>
      </c>
      <c r="N21" s="2"/>
      <c r="O21" s="2">
        <v>0</v>
      </c>
      <c r="P21" s="2"/>
      <c r="Q21" s="2">
        <v>0</v>
      </c>
      <c r="R21" s="2"/>
      <c r="S21" s="2">
        <v>0</v>
      </c>
      <c r="T21" s="2"/>
      <c r="U21" s="2">
        <v>49035</v>
      </c>
      <c r="V21" s="2"/>
      <c r="W21" s="30">
        <f t="shared" si="1"/>
        <v>3545602</v>
      </c>
      <c r="X21" s="2"/>
      <c r="Y21" s="2">
        <v>0</v>
      </c>
      <c r="Z21" s="2"/>
      <c r="AA21" s="2">
        <v>0</v>
      </c>
      <c r="AB21" s="2"/>
      <c r="AC21" s="13" t="s">
        <v>328</v>
      </c>
      <c r="AD21" s="19"/>
      <c r="AE21" s="19" t="s">
        <v>272</v>
      </c>
      <c r="AF21" s="2"/>
      <c r="AG21" s="2">
        <v>0</v>
      </c>
      <c r="AH21" s="2"/>
      <c r="AI21" s="2">
        <v>0</v>
      </c>
      <c r="AJ21" s="2"/>
      <c r="AK21" s="2">
        <v>0</v>
      </c>
      <c r="AL21" s="2"/>
      <c r="AM21" s="2">
        <v>0</v>
      </c>
      <c r="AN21" s="2"/>
      <c r="AO21" s="2">
        <v>0</v>
      </c>
      <c r="AP21" s="2"/>
      <c r="AQ21" s="2">
        <v>0</v>
      </c>
      <c r="AR21" s="2"/>
      <c r="AS21" s="2">
        <v>0</v>
      </c>
      <c r="AT21" s="2"/>
      <c r="AU21" s="2">
        <f t="shared" si="2"/>
        <v>0</v>
      </c>
      <c r="AV21" s="2"/>
      <c r="AW21" s="2">
        <f t="shared" si="0"/>
        <v>3545602</v>
      </c>
    </row>
    <row r="22" spans="1:51" s="65" customFormat="1">
      <c r="A22" s="13" t="s">
        <v>403</v>
      </c>
      <c r="B22" s="60"/>
      <c r="C22" s="60" t="s">
        <v>207</v>
      </c>
      <c r="E22" s="60">
        <v>51201</v>
      </c>
      <c r="G22" s="13">
        <f>6828537+1415</f>
        <v>6829952</v>
      </c>
      <c r="H22" s="13"/>
      <c r="I22" s="13">
        <v>5618794</v>
      </c>
      <c r="J22" s="13"/>
      <c r="K22" s="13">
        <v>71039</v>
      </c>
      <c r="L22" s="13"/>
      <c r="M22" s="13">
        <v>23897</v>
      </c>
      <c r="N22" s="13"/>
      <c r="O22" s="13">
        <v>0</v>
      </c>
      <c r="P22" s="13"/>
      <c r="Q22" s="13">
        <v>0</v>
      </c>
      <c r="R22" s="13"/>
      <c r="S22" s="13">
        <v>0</v>
      </c>
      <c r="T22" s="13"/>
      <c r="U22" s="13">
        <f>24769+21074</f>
        <v>45843</v>
      </c>
      <c r="V22" s="13"/>
      <c r="W22" s="30">
        <f t="shared" si="1"/>
        <v>12589525</v>
      </c>
      <c r="X22" s="13"/>
      <c r="Y22" s="13">
        <v>0</v>
      </c>
      <c r="Z22" s="13"/>
      <c r="AA22" s="13">
        <v>0</v>
      </c>
      <c r="AB22" s="13"/>
      <c r="AC22" s="13" t="s">
        <v>403</v>
      </c>
      <c r="AD22" s="60"/>
      <c r="AE22" s="60" t="s">
        <v>207</v>
      </c>
      <c r="AF22" s="13"/>
      <c r="AG22" s="13">
        <v>0</v>
      </c>
      <c r="AH22" s="13"/>
      <c r="AI22" s="13">
        <v>0</v>
      </c>
      <c r="AJ22" s="13"/>
      <c r="AK22" s="13">
        <v>0</v>
      </c>
      <c r="AL22" s="13"/>
      <c r="AM22" s="13">
        <v>0</v>
      </c>
      <c r="AN22" s="13"/>
      <c r="AO22" s="13">
        <v>0</v>
      </c>
      <c r="AP22" s="13"/>
      <c r="AQ22" s="13">
        <v>21010</v>
      </c>
      <c r="AR22" s="13"/>
      <c r="AS22" s="13">
        <v>0</v>
      </c>
      <c r="AT22" s="13"/>
      <c r="AU22" s="13">
        <f t="shared" si="2"/>
        <v>21010</v>
      </c>
      <c r="AV22" s="13"/>
      <c r="AW22" s="13">
        <f t="shared" si="0"/>
        <v>12610535</v>
      </c>
      <c r="AY22" s="13" t="s">
        <v>401</v>
      </c>
    </row>
    <row r="23" spans="1:51">
      <c r="A23" s="2" t="s">
        <v>325</v>
      </c>
      <c r="B23" s="19"/>
      <c r="C23" s="19" t="s">
        <v>177</v>
      </c>
      <c r="E23" s="19">
        <v>50922</v>
      </c>
      <c r="G23" s="2">
        <v>11554036</v>
      </c>
      <c r="H23" s="2"/>
      <c r="I23" s="2">
        <v>3978170</v>
      </c>
      <c r="J23" s="2"/>
      <c r="K23" s="2">
        <v>238326</v>
      </c>
      <c r="L23" s="2"/>
      <c r="M23" s="2">
        <v>89097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64223</v>
      </c>
      <c r="V23" s="2"/>
      <c r="W23" s="30">
        <f t="shared" si="1"/>
        <v>15923852</v>
      </c>
      <c r="X23" s="2"/>
      <c r="Y23" s="2">
        <v>0</v>
      </c>
      <c r="Z23" s="2"/>
      <c r="AA23" s="2">
        <v>0</v>
      </c>
      <c r="AB23" s="2"/>
      <c r="AC23" s="2" t="s">
        <v>325</v>
      </c>
      <c r="AD23" s="19"/>
      <c r="AE23" s="19" t="s">
        <v>177</v>
      </c>
      <c r="AF23" s="2"/>
      <c r="AG23" s="2">
        <v>0</v>
      </c>
      <c r="AH23" s="2"/>
      <c r="AI23" s="2">
        <v>0</v>
      </c>
      <c r="AJ23" s="2"/>
      <c r="AK23" s="2">
        <v>0</v>
      </c>
      <c r="AL23" s="2"/>
      <c r="AM23" s="2">
        <v>0</v>
      </c>
      <c r="AN23" s="2"/>
      <c r="AO23" s="2">
        <v>0</v>
      </c>
      <c r="AP23" s="2"/>
      <c r="AQ23" s="2">
        <v>0</v>
      </c>
      <c r="AR23" s="2"/>
      <c r="AS23" s="2">
        <v>0</v>
      </c>
      <c r="AT23" s="2"/>
      <c r="AU23" s="2">
        <f t="shared" si="2"/>
        <v>0</v>
      </c>
      <c r="AV23" s="2"/>
      <c r="AW23" s="2">
        <f t="shared" si="0"/>
        <v>15923852</v>
      </c>
    </row>
    <row r="24" spans="1:51">
      <c r="A24" s="2" t="s">
        <v>324</v>
      </c>
      <c r="B24" s="19"/>
      <c r="C24" s="19" t="s">
        <v>181</v>
      </c>
      <c r="E24" s="19">
        <v>50989</v>
      </c>
      <c r="G24" s="2">
        <v>8508297</v>
      </c>
      <c r="H24" s="2"/>
      <c r="I24" s="2">
        <v>3848864</v>
      </c>
      <c r="J24" s="2"/>
      <c r="K24" s="2">
        <v>343497</v>
      </c>
      <c r="L24" s="2"/>
      <c r="M24" s="2">
        <v>1158812</v>
      </c>
      <c r="N24" s="2"/>
      <c r="O24" s="2">
        <v>0</v>
      </c>
      <c r="P24" s="2"/>
      <c r="Q24" s="2">
        <v>10000</v>
      </c>
      <c r="R24" s="2"/>
      <c r="S24" s="2">
        <v>162252</v>
      </c>
      <c r="T24" s="2"/>
      <c r="U24" s="2">
        <v>130818</v>
      </c>
      <c r="V24" s="2"/>
      <c r="W24" s="30">
        <f t="shared" si="1"/>
        <v>14162540</v>
      </c>
      <c r="X24" s="2"/>
      <c r="Y24" s="2">
        <v>0</v>
      </c>
      <c r="Z24" s="2"/>
      <c r="AA24" s="2">
        <v>0</v>
      </c>
      <c r="AB24" s="2"/>
      <c r="AC24" s="2" t="s">
        <v>324</v>
      </c>
      <c r="AD24" s="19"/>
      <c r="AE24" s="19" t="s">
        <v>181</v>
      </c>
      <c r="AF24" s="2"/>
      <c r="AG24" s="2">
        <v>0</v>
      </c>
      <c r="AH24" s="2"/>
      <c r="AI24" s="2">
        <v>0</v>
      </c>
      <c r="AJ24" s="2"/>
      <c r="AK24" s="2">
        <v>0</v>
      </c>
      <c r="AL24" s="2"/>
      <c r="AM24" s="2">
        <v>0</v>
      </c>
      <c r="AN24" s="2"/>
      <c r="AO24" s="2">
        <v>0</v>
      </c>
      <c r="AP24" s="2"/>
      <c r="AQ24" s="2">
        <v>0</v>
      </c>
      <c r="AR24" s="2"/>
      <c r="AS24" s="2">
        <v>0</v>
      </c>
      <c r="AT24" s="2"/>
      <c r="AU24" s="2">
        <f t="shared" si="2"/>
        <v>0</v>
      </c>
      <c r="AV24" s="2"/>
      <c r="AW24" s="2">
        <f t="shared" si="0"/>
        <v>14162540</v>
      </c>
    </row>
    <row r="25" spans="1:51">
      <c r="A25" s="2" t="s">
        <v>326</v>
      </c>
      <c r="B25" s="19"/>
      <c r="C25" s="19" t="s">
        <v>186</v>
      </c>
      <c r="E25" s="19">
        <v>51003</v>
      </c>
      <c r="G25" s="2">
        <v>13783061</v>
      </c>
      <c r="H25" s="2"/>
      <c r="I25" s="2">
        <v>6811234</v>
      </c>
      <c r="J25" s="2"/>
      <c r="K25" s="2">
        <v>450688</v>
      </c>
      <c r="L25" s="2"/>
      <c r="M25" s="2">
        <v>488624</v>
      </c>
      <c r="N25" s="2"/>
      <c r="O25" s="2">
        <v>11482</v>
      </c>
      <c r="P25" s="2"/>
      <c r="Q25" s="2">
        <v>0</v>
      </c>
      <c r="R25" s="2"/>
      <c r="S25" s="2">
        <v>250</v>
      </c>
      <c r="T25" s="2"/>
      <c r="U25" s="2">
        <v>20670</v>
      </c>
      <c r="V25" s="2"/>
      <c r="W25" s="30">
        <f t="shared" si="1"/>
        <v>21566009</v>
      </c>
      <c r="X25" s="2"/>
      <c r="Y25" s="2">
        <v>0</v>
      </c>
      <c r="Z25" s="2"/>
      <c r="AA25" s="2">
        <v>145255</v>
      </c>
      <c r="AB25" s="2"/>
      <c r="AC25" s="2" t="s">
        <v>326</v>
      </c>
      <c r="AD25" s="19"/>
      <c r="AE25" s="19" t="s">
        <v>186</v>
      </c>
      <c r="AF25" s="2"/>
      <c r="AG25" s="2">
        <v>0</v>
      </c>
      <c r="AH25" s="2"/>
      <c r="AI25" s="2">
        <v>0</v>
      </c>
      <c r="AJ25" s="2"/>
      <c r="AK25" s="2">
        <v>0</v>
      </c>
      <c r="AL25" s="2"/>
      <c r="AM25" s="2">
        <v>0</v>
      </c>
      <c r="AN25" s="2"/>
      <c r="AO25" s="2">
        <v>0</v>
      </c>
      <c r="AP25" s="2"/>
      <c r="AQ25" s="2">
        <v>0</v>
      </c>
      <c r="AR25" s="2"/>
      <c r="AS25" s="2">
        <v>0</v>
      </c>
      <c r="AT25" s="2"/>
      <c r="AU25" s="2">
        <f t="shared" si="2"/>
        <v>145255</v>
      </c>
      <c r="AV25" s="2"/>
      <c r="AW25" s="2">
        <f t="shared" si="0"/>
        <v>21711264</v>
      </c>
    </row>
    <row r="26" spans="1:51" s="65" customFormat="1">
      <c r="A26" s="13" t="s">
        <v>327</v>
      </c>
      <c r="B26" s="60"/>
      <c r="C26" s="60" t="s">
        <v>183</v>
      </c>
      <c r="E26" s="60">
        <v>51029</v>
      </c>
      <c r="G26" s="13">
        <v>5729863</v>
      </c>
      <c r="H26" s="13"/>
      <c r="I26" s="13">
        <v>5809873</v>
      </c>
      <c r="J26" s="13"/>
      <c r="K26" s="13">
        <v>150433</v>
      </c>
      <c r="L26" s="13"/>
      <c r="M26" s="13">
        <v>10600</v>
      </c>
      <c r="N26" s="13"/>
      <c r="O26" s="13">
        <v>0</v>
      </c>
      <c r="P26" s="13"/>
      <c r="Q26" s="13">
        <v>0</v>
      </c>
      <c r="R26" s="13"/>
      <c r="S26" s="13">
        <v>0</v>
      </c>
      <c r="T26" s="13"/>
      <c r="U26" s="13">
        <v>141425</v>
      </c>
      <c r="V26" s="13"/>
      <c r="W26" s="30">
        <f t="shared" si="1"/>
        <v>11842194</v>
      </c>
      <c r="X26" s="13"/>
      <c r="Y26" s="13">
        <v>0</v>
      </c>
      <c r="Z26" s="13"/>
      <c r="AA26" s="13">
        <v>0</v>
      </c>
      <c r="AB26" s="13"/>
      <c r="AC26" s="13" t="s">
        <v>327</v>
      </c>
      <c r="AD26" s="60"/>
      <c r="AE26" s="60" t="s">
        <v>183</v>
      </c>
      <c r="AF26" s="13"/>
      <c r="AG26" s="13">
        <v>0</v>
      </c>
      <c r="AH26" s="13"/>
      <c r="AI26" s="13">
        <v>0</v>
      </c>
      <c r="AJ26" s="13"/>
      <c r="AK26" s="13">
        <v>0</v>
      </c>
      <c r="AL26" s="13"/>
      <c r="AM26" s="13">
        <v>0</v>
      </c>
      <c r="AN26" s="13"/>
      <c r="AO26" s="13">
        <v>0</v>
      </c>
      <c r="AP26" s="13"/>
      <c r="AQ26" s="13">
        <v>0</v>
      </c>
      <c r="AR26" s="13"/>
      <c r="AS26" s="13">
        <v>0</v>
      </c>
      <c r="AT26" s="13"/>
      <c r="AU26" s="13">
        <f t="shared" si="2"/>
        <v>0</v>
      </c>
      <c r="AV26" s="13"/>
      <c r="AW26" s="13">
        <f t="shared" si="0"/>
        <v>11842194</v>
      </c>
      <c r="AY26" s="13" t="s">
        <v>401</v>
      </c>
    </row>
    <row r="27" spans="1:51">
      <c r="A27" s="2" t="s">
        <v>329</v>
      </c>
      <c r="B27" s="19"/>
      <c r="C27" s="19" t="s">
        <v>275</v>
      </c>
      <c r="E27" s="19">
        <v>50963</v>
      </c>
      <c r="G27" s="2">
        <v>5347890</v>
      </c>
      <c r="H27" s="2"/>
      <c r="I27" s="2">
        <v>8649249</v>
      </c>
      <c r="J27" s="2"/>
      <c r="K27" s="2">
        <v>394323</v>
      </c>
      <c r="L27" s="2"/>
      <c r="M27" s="2">
        <v>106776</v>
      </c>
      <c r="N27" s="2"/>
      <c r="O27" s="2">
        <v>0</v>
      </c>
      <c r="P27" s="2"/>
      <c r="Q27" s="2">
        <v>0</v>
      </c>
      <c r="R27" s="2"/>
      <c r="S27" s="2">
        <v>84665</v>
      </c>
      <c r="T27" s="2"/>
      <c r="U27" s="2">
        <v>109233</v>
      </c>
      <c r="V27" s="2"/>
      <c r="W27" s="30">
        <f t="shared" si="1"/>
        <v>14692136</v>
      </c>
      <c r="X27" s="2"/>
      <c r="Y27" s="2">
        <v>0</v>
      </c>
      <c r="Z27" s="2"/>
      <c r="AA27" s="2">
        <v>10832</v>
      </c>
      <c r="AB27" s="2"/>
      <c r="AC27" s="2" t="s">
        <v>329</v>
      </c>
      <c r="AD27" s="19"/>
      <c r="AE27" s="19" t="s">
        <v>275</v>
      </c>
      <c r="AF27" s="2"/>
      <c r="AG27" s="2">
        <v>0</v>
      </c>
      <c r="AH27" s="2"/>
      <c r="AI27" s="2">
        <v>0</v>
      </c>
      <c r="AJ27" s="2"/>
      <c r="AK27" s="2">
        <v>0</v>
      </c>
      <c r="AL27" s="2"/>
      <c r="AM27" s="2">
        <v>0</v>
      </c>
      <c r="AN27" s="2"/>
      <c r="AO27" s="2">
        <v>0</v>
      </c>
      <c r="AP27" s="2"/>
      <c r="AQ27" s="2">
        <v>0</v>
      </c>
      <c r="AR27" s="2"/>
      <c r="AS27" s="2">
        <v>0</v>
      </c>
      <c r="AT27" s="2"/>
      <c r="AU27" s="2">
        <f t="shared" si="2"/>
        <v>10832</v>
      </c>
      <c r="AV27" s="2"/>
      <c r="AW27" s="2">
        <f t="shared" si="0"/>
        <v>14702968</v>
      </c>
    </row>
    <row r="28" spans="1:51">
      <c r="A28" s="2" t="s">
        <v>273</v>
      </c>
      <c r="B28" s="19"/>
      <c r="C28" s="19" t="s">
        <v>189</v>
      </c>
      <c r="E28" s="19">
        <v>62067</v>
      </c>
      <c r="G28" s="2">
        <v>2335501</v>
      </c>
      <c r="H28" s="2"/>
      <c r="I28" s="2">
        <v>4880459</v>
      </c>
      <c r="J28" s="2"/>
      <c r="K28" s="2">
        <v>220475</v>
      </c>
      <c r="L28" s="2"/>
      <c r="M28" s="2">
        <v>6125</v>
      </c>
      <c r="N28" s="2"/>
      <c r="O28" s="2">
        <v>940</v>
      </c>
      <c r="P28" s="2"/>
      <c r="Q28" s="2">
        <v>0</v>
      </c>
      <c r="R28" s="2"/>
      <c r="S28" s="2">
        <v>4104</v>
      </c>
      <c r="T28" s="2"/>
      <c r="U28" s="2">
        <v>98320</v>
      </c>
      <c r="V28" s="2"/>
      <c r="W28" s="30">
        <f t="shared" si="1"/>
        <v>7545924</v>
      </c>
      <c r="X28" s="2"/>
      <c r="Y28" s="2">
        <v>0</v>
      </c>
      <c r="Z28" s="2"/>
      <c r="AA28" s="2">
        <v>1410</v>
      </c>
      <c r="AB28" s="2"/>
      <c r="AC28" s="2" t="s">
        <v>273</v>
      </c>
      <c r="AD28" s="19"/>
      <c r="AE28" s="19" t="s">
        <v>189</v>
      </c>
      <c r="AF28" s="2"/>
      <c r="AG28" s="2">
        <v>0</v>
      </c>
      <c r="AH28" s="2"/>
      <c r="AI28" s="2">
        <v>0</v>
      </c>
      <c r="AJ28" s="2"/>
      <c r="AK28" s="2">
        <v>0</v>
      </c>
      <c r="AL28" s="2"/>
      <c r="AM28" s="2">
        <v>0</v>
      </c>
      <c r="AN28" s="2"/>
      <c r="AO28" s="2">
        <v>0</v>
      </c>
      <c r="AP28" s="2"/>
      <c r="AQ28" s="2">
        <v>0</v>
      </c>
      <c r="AR28" s="2"/>
      <c r="AS28" s="2">
        <v>0</v>
      </c>
      <c r="AT28" s="2"/>
      <c r="AU28" s="2">
        <f t="shared" si="2"/>
        <v>1410</v>
      </c>
      <c r="AV28" s="2"/>
      <c r="AW28" s="2">
        <f t="shared" si="0"/>
        <v>7547334</v>
      </c>
    </row>
    <row r="29" spans="1:51" s="65" customFormat="1">
      <c r="A29" s="13" t="s">
        <v>274</v>
      </c>
      <c r="B29" s="60"/>
      <c r="C29" s="60" t="s">
        <v>195</v>
      </c>
      <c r="E29" s="60">
        <v>51060</v>
      </c>
      <c r="G29" s="13">
        <v>37359574</v>
      </c>
      <c r="H29" s="13"/>
      <c r="I29" s="13">
        <v>22219317</v>
      </c>
      <c r="J29" s="13"/>
      <c r="K29" s="13">
        <v>3502140</v>
      </c>
      <c r="L29" s="13"/>
      <c r="M29" s="13">
        <v>521311</v>
      </c>
      <c r="N29" s="13"/>
      <c r="O29" s="13">
        <v>0</v>
      </c>
      <c r="P29" s="13"/>
      <c r="Q29" s="13">
        <v>0</v>
      </c>
      <c r="R29" s="13"/>
      <c r="S29" s="13">
        <v>0</v>
      </c>
      <c r="T29" s="13"/>
      <c r="U29" s="13">
        <v>707074</v>
      </c>
      <c r="V29" s="13"/>
      <c r="W29" s="30">
        <f t="shared" si="1"/>
        <v>64309416</v>
      </c>
      <c r="X29" s="13"/>
      <c r="Y29" s="13">
        <v>0</v>
      </c>
      <c r="Z29" s="13"/>
      <c r="AA29" s="13">
        <v>52385</v>
      </c>
      <c r="AB29" s="13"/>
      <c r="AC29" s="13" t="s">
        <v>274</v>
      </c>
      <c r="AD29" s="60"/>
      <c r="AE29" s="60" t="s">
        <v>195</v>
      </c>
      <c r="AF29" s="13"/>
      <c r="AG29" s="13">
        <v>0</v>
      </c>
      <c r="AH29" s="13"/>
      <c r="AI29" s="13">
        <v>0</v>
      </c>
      <c r="AJ29" s="13"/>
      <c r="AK29" s="13">
        <v>0</v>
      </c>
      <c r="AL29" s="13"/>
      <c r="AM29" s="13">
        <v>0</v>
      </c>
      <c r="AN29" s="13"/>
      <c r="AO29" s="13">
        <v>0</v>
      </c>
      <c r="AP29" s="13"/>
      <c r="AQ29" s="13">
        <v>0</v>
      </c>
      <c r="AR29" s="13"/>
      <c r="AS29" s="13">
        <v>0</v>
      </c>
      <c r="AT29" s="13"/>
      <c r="AU29" s="13">
        <f t="shared" si="2"/>
        <v>52385</v>
      </c>
      <c r="AV29" s="13"/>
      <c r="AW29" s="13">
        <f t="shared" si="0"/>
        <v>64361801</v>
      </c>
      <c r="AY29" s="13" t="s">
        <v>401</v>
      </c>
    </row>
    <row r="30" spans="1:51">
      <c r="A30" s="2" t="s">
        <v>330</v>
      </c>
      <c r="B30" s="19"/>
      <c r="C30" s="19" t="s">
        <v>193</v>
      </c>
      <c r="E30" s="19">
        <v>51045</v>
      </c>
      <c r="G30" s="2">
        <v>6907354</v>
      </c>
      <c r="H30" s="2"/>
      <c r="I30" s="2">
        <v>5505226</v>
      </c>
      <c r="J30" s="2"/>
      <c r="K30" s="2">
        <v>132609</v>
      </c>
      <c r="L30" s="2"/>
      <c r="M30" s="2">
        <v>80514</v>
      </c>
      <c r="N30" s="2"/>
      <c r="O30" s="2">
        <v>0</v>
      </c>
      <c r="P30" s="2"/>
      <c r="Q30" s="2">
        <v>0</v>
      </c>
      <c r="R30" s="2"/>
      <c r="S30" s="2">
        <v>0</v>
      </c>
      <c r="T30" s="2"/>
      <c r="U30" s="2">
        <v>96824</v>
      </c>
      <c r="V30" s="2"/>
      <c r="W30" s="30">
        <f>SUM(G30:V30)</f>
        <v>12722527</v>
      </c>
      <c r="X30" s="2"/>
      <c r="Y30" s="2">
        <v>0</v>
      </c>
      <c r="Z30" s="2"/>
      <c r="AA30" s="2">
        <v>8695</v>
      </c>
      <c r="AB30" s="2"/>
      <c r="AC30" s="2" t="s">
        <v>330</v>
      </c>
      <c r="AD30" s="19"/>
      <c r="AE30" s="19" t="s">
        <v>193</v>
      </c>
      <c r="AF30" s="2"/>
      <c r="AG30" s="2">
        <v>0</v>
      </c>
      <c r="AH30" s="2"/>
      <c r="AI30" s="2">
        <v>0</v>
      </c>
      <c r="AJ30" s="2"/>
      <c r="AK30" s="2">
        <v>0</v>
      </c>
      <c r="AL30" s="2"/>
      <c r="AM30" s="2">
        <v>0</v>
      </c>
      <c r="AN30" s="2"/>
      <c r="AO30" s="2">
        <v>0</v>
      </c>
      <c r="AP30" s="2"/>
      <c r="AQ30" s="2">
        <v>0</v>
      </c>
      <c r="AR30" s="2"/>
      <c r="AS30" s="2">
        <v>0</v>
      </c>
      <c r="AT30" s="2"/>
      <c r="AU30" s="2">
        <f>SUM(Y30:AS30)</f>
        <v>8695</v>
      </c>
      <c r="AV30" s="2"/>
      <c r="AW30" s="2">
        <f>+AU30+W30</f>
        <v>12731222</v>
      </c>
    </row>
    <row r="31" spans="1:51">
      <c r="A31" s="2" t="s">
        <v>276</v>
      </c>
      <c r="B31" s="19"/>
      <c r="C31" s="19" t="s">
        <v>200</v>
      </c>
      <c r="E31" s="19">
        <v>51128</v>
      </c>
      <c r="G31" s="2">
        <v>1474180</v>
      </c>
      <c r="H31" s="2"/>
      <c r="I31" s="2">
        <v>3069210</v>
      </c>
      <c r="J31" s="2"/>
      <c r="K31" s="2">
        <v>2200</v>
      </c>
      <c r="L31" s="2"/>
      <c r="M31" s="2">
        <v>294484</v>
      </c>
      <c r="N31" s="2"/>
      <c r="O31" s="2">
        <v>0</v>
      </c>
      <c r="P31" s="2"/>
      <c r="Q31" s="2">
        <v>0</v>
      </c>
      <c r="R31" s="2"/>
      <c r="S31" s="2">
        <v>0</v>
      </c>
      <c r="T31" s="2"/>
      <c r="U31" s="2">
        <v>11448</v>
      </c>
      <c r="V31" s="2"/>
      <c r="W31" s="30">
        <f t="shared" si="1"/>
        <v>4851522</v>
      </c>
      <c r="X31" s="2"/>
      <c r="Y31" s="2">
        <v>0</v>
      </c>
      <c r="Z31" s="2"/>
      <c r="AA31" s="2">
        <v>0</v>
      </c>
      <c r="AB31" s="2"/>
      <c r="AC31" s="2" t="s">
        <v>276</v>
      </c>
      <c r="AD31" s="19"/>
      <c r="AE31" s="19" t="s">
        <v>200</v>
      </c>
      <c r="AF31" s="2"/>
      <c r="AG31" s="2">
        <v>0</v>
      </c>
      <c r="AH31" s="2"/>
      <c r="AI31" s="2">
        <v>0</v>
      </c>
      <c r="AJ31" s="2"/>
      <c r="AK31" s="2">
        <v>0</v>
      </c>
      <c r="AL31" s="2"/>
      <c r="AM31" s="2">
        <v>0</v>
      </c>
      <c r="AN31" s="2"/>
      <c r="AO31" s="2">
        <v>0</v>
      </c>
      <c r="AP31" s="2"/>
      <c r="AQ31" s="2">
        <v>0</v>
      </c>
      <c r="AR31" s="2"/>
      <c r="AS31" s="2">
        <v>0</v>
      </c>
      <c r="AT31" s="2"/>
      <c r="AU31" s="2">
        <f t="shared" si="2"/>
        <v>0</v>
      </c>
      <c r="AV31" s="2"/>
      <c r="AW31" s="2">
        <f t="shared" si="0"/>
        <v>4851522</v>
      </c>
    </row>
    <row r="32" spans="1:51">
      <c r="A32" s="2" t="s">
        <v>331</v>
      </c>
      <c r="B32" s="19"/>
      <c r="C32" s="19" t="s">
        <v>202</v>
      </c>
      <c r="E32" s="19">
        <v>51144</v>
      </c>
      <c r="G32" s="2">
        <v>4198587</v>
      </c>
      <c r="H32" s="2"/>
      <c r="I32" s="2">
        <v>5728232</v>
      </c>
      <c r="J32" s="2"/>
      <c r="K32" s="2">
        <v>385077</v>
      </c>
      <c r="L32" s="2"/>
      <c r="M32" s="2">
        <v>7218</v>
      </c>
      <c r="N32" s="2"/>
      <c r="O32" s="2">
        <v>0</v>
      </c>
      <c r="P32" s="2"/>
      <c r="Q32" s="2">
        <v>86018</v>
      </c>
      <c r="R32" s="2"/>
      <c r="S32" s="2">
        <v>3451</v>
      </c>
      <c r="T32" s="2"/>
      <c r="U32" s="2">
        <v>149688</v>
      </c>
      <c r="V32" s="2"/>
      <c r="W32" s="30">
        <f t="shared" si="1"/>
        <v>10558271</v>
      </c>
      <c r="X32" s="2"/>
      <c r="Y32" s="2">
        <v>0</v>
      </c>
      <c r="Z32" s="2"/>
      <c r="AA32" s="2">
        <v>826</v>
      </c>
      <c r="AB32" s="2"/>
      <c r="AC32" s="2" t="s">
        <v>331</v>
      </c>
      <c r="AD32" s="19"/>
      <c r="AE32" s="19" t="s">
        <v>202</v>
      </c>
      <c r="AF32" s="2"/>
      <c r="AG32" s="2">
        <v>0</v>
      </c>
      <c r="AH32" s="2"/>
      <c r="AI32" s="2">
        <v>0</v>
      </c>
      <c r="AJ32" s="2"/>
      <c r="AK32" s="2">
        <v>0</v>
      </c>
      <c r="AL32" s="2"/>
      <c r="AM32" s="2">
        <v>0</v>
      </c>
      <c r="AN32" s="2"/>
      <c r="AO32" s="2">
        <v>0</v>
      </c>
      <c r="AP32" s="2"/>
      <c r="AQ32" s="2">
        <v>0</v>
      </c>
      <c r="AR32" s="2"/>
      <c r="AS32" s="2">
        <v>0</v>
      </c>
      <c r="AT32" s="2"/>
      <c r="AU32" s="2">
        <f t="shared" si="2"/>
        <v>826</v>
      </c>
      <c r="AV32" s="2"/>
      <c r="AW32" s="2">
        <f t="shared" si="0"/>
        <v>10559097</v>
      </c>
    </row>
    <row r="33" spans="1:51">
      <c r="A33" s="2" t="s">
        <v>278</v>
      </c>
      <c r="B33" s="19"/>
      <c r="C33" s="19" t="s">
        <v>205</v>
      </c>
      <c r="E33" s="19">
        <v>51185</v>
      </c>
      <c r="G33" s="2">
        <v>1449607</v>
      </c>
      <c r="H33" s="2"/>
      <c r="I33" s="2">
        <v>5255025</v>
      </c>
      <c r="J33" s="2"/>
      <c r="K33" s="2">
        <v>0</v>
      </c>
      <c r="L33" s="2"/>
      <c r="M33" s="2">
        <v>24683</v>
      </c>
      <c r="N33" s="2"/>
      <c r="O33" s="2">
        <v>0</v>
      </c>
      <c r="P33" s="2"/>
      <c r="Q33" s="2">
        <v>30720</v>
      </c>
      <c r="R33" s="2"/>
      <c r="S33" s="2">
        <v>0</v>
      </c>
      <c r="T33" s="2"/>
      <c r="U33" s="13">
        <f>178827+15408</f>
        <v>194235</v>
      </c>
      <c r="V33" s="2"/>
      <c r="W33" s="30">
        <f t="shared" si="1"/>
        <v>6954270</v>
      </c>
      <c r="X33" s="2"/>
      <c r="Y33" s="2">
        <v>0</v>
      </c>
      <c r="Z33" s="2"/>
      <c r="AA33" s="2">
        <v>0</v>
      </c>
      <c r="AB33" s="2"/>
      <c r="AC33" s="2" t="s">
        <v>278</v>
      </c>
      <c r="AD33" s="19"/>
      <c r="AE33" s="19" t="s">
        <v>205</v>
      </c>
      <c r="AF33" s="2"/>
      <c r="AG33" s="2">
        <v>0</v>
      </c>
      <c r="AH33" s="2"/>
      <c r="AI33" s="2">
        <v>0</v>
      </c>
      <c r="AJ33" s="2"/>
      <c r="AK33" s="2">
        <v>0</v>
      </c>
      <c r="AL33" s="2"/>
      <c r="AM33" s="2">
        <v>0</v>
      </c>
      <c r="AN33" s="2"/>
      <c r="AO33" s="2">
        <v>0</v>
      </c>
      <c r="AP33" s="2"/>
      <c r="AQ33" s="2">
        <v>0</v>
      </c>
      <c r="AR33" s="2"/>
      <c r="AS33" s="2">
        <v>0</v>
      </c>
      <c r="AT33" s="2"/>
      <c r="AU33" s="2">
        <f t="shared" si="2"/>
        <v>0</v>
      </c>
      <c r="AV33" s="2"/>
      <c r="AW33" s="2">
        <f t="shared" si="0"/>
        <v>6954270</v>
      </c>
      <c r="AY33" s="94"/>
    </row>
    <row r="34" spans="1:51" s="73" customFormat="1" hidden="1">
      <c r="A34" s="69" t="s">
        <v>362</v>
      </c>
      <c r="B34" s="71"/>
      <c r="C34" s="71" t="s">
        <v>207</v>
      </c>
      <c r="E34" s="71">
        <v>47977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V34" s="69"/>
      <c r="W34" s="76">
        <f t="shared" si="1"/>
        <v>0</v>
      </c>
      <c r="X34" s="69"/>
      <c r="Y34" s="69">
        <v>0</v>
      </c>
      <c r="Z34" s="69"/>
      <c r="AA34" s="69">
        <v>0</v>
      </c>
      <c r="AB34" s="69"/>
      <c r="AC34" s="69" t="s">
        <v>362</v>
      </c>
      <c r="AD34" s="71"/>
      <c r="AE34" s="71" t="s">
        <v>207</v>
      </c>
      <c r="AF34" s="69"/>
      <c r="AG34" s="69">
        <v>0</v>
      </c>
      <c r="AH34" s="69"/>
      <c r="AI34" s="69">
        <v>0</v>
      </c>
      <c r="AJ34" s="69"/>
      <c r="AK34" s="69">
        <v>0</v>
      </c>
      <c r="AL34" s="69"/>
      <c r="AM34" s="69">
        <v>0</v>
      </c>
      <c r="AN34" s="69"/>
      <c r="AO34" s="69">
        <v>0</v>
      </c>
      <c r="AP34" s="69"/>
      <c r="AQ34" s="69">
        <v>0</v>
      </c>
      <c r="AR34" s="69"/>
      <c r="AS34" s="69">
        <v>0</v>
      </c>
      <c r="AT34" s="69"/>
      <c r="AU34" s="69">
        <f t="shared" si="2"/>
        <v>0</v>
      </c>
      <c r="AV34" s="69"/>
      <c r="AW34" s="69">
        <f t="shared" si="0"/>
        <v>0</v>
      </c>
      <c r="AY34" s="93" t="s">
        <v>404</v>
      </c>
    </row>
    <row r="35" spans="1:51">
      <c r="A35" s="2" t="s">
        <v>280</v>
      </c>
      <c r="B35" s="19"/>
      <c r="C35" s="19" t="s">
        <v>154</v>
      </c>
      <c r="E35" s="19">
        <v>51227</v>
      </c>
      <c r="G35" s="2">
        <v>10257688</v>
      </c>
      <c r="H35" s="2"/>
      <c r="I35" s="2">
        <v>9290821</v>
      </c>
      <c r="J35" s="2"/>
      <c r="K35" s="2">
        <v>276978</v>
      </c>
      <c r="L35" s="2"/>
      <c r="M35" s="2">
        <v>139795</v>
      </c>
      <c r="N35" s="2"/>
      <c r="O35" s="2">
        <v>0</v>
      </c>
      <c r="P35" s="2"/>
      <c r="Q35" s="2">
        <v>0</v>
      </c>
      <c r="R35" s="2"/>
      <c r="S35" s="2">
        <v>0</v>
      </c>
      <c r="T35" s="2"/>
      <c r="U35" s="2">
        <v>546291</v>
      </c>
      <c r="V35" s="2"/>
      <c r="W35" s="30">
        <f t="shared" si="1"/>
        <v>20511573</v>
      </c>
      <c r="X35" s="2"/>
      <c r="Y35" s="2">
        <v>0</v>
      </c>
      <c r="Z35" s="2"/>
      <c r="AA35" s="2">
        <v>0</v>
      </c>
      <c r="AB35" s="2"/>
      <c r="AC35" s="2" t="s">
        <v>280</v>
      </c>
      <c r="AD35" s="19"/>
      <c r="AE35" s="19" t="s">
        <v>154</v>
      </c>
      <c r="AF35" s="2"/>
      <c r="AG35" s="2">
        <v>0</v>
      </c>
      <c r="AH35" s="2"/>
      <c r="AI35" s="2">
        <v>0</v>
      </c>
      <c r="AJ35" s="2"/>
      <c r="AK35" s="2">
        <v>0</v>
      </c>
      <c r="AL35" s="2"/>
      <c r="AM35" s="2">
        <v>0</v>
      </c>
      <c r="AN35" s="2"/>
      <c r="AO35" s="2">
        <v>0</v>
      </c>
      <c r="AP35" s="2"/>
      <c r="AQ35" s="2">
        <v>0</v>
      </c>
      <c r="AR35" s="2"/>
      <c r="AS35" s="2">
        <v>0</v>
      </c>
      <c r="AT35" s="2"/>
      <c r="AU35" s="2">
        <f t="shared" si="2"/>
        <v>0</v>
      </c>
      <c r="AV35" s="2"/>
      <c r="AW35" s="2">
        <f t="shared" si="0"/>
        <v>20511573</v>
      </c>
    </row>
    <row r="36" spans="1:51" s="96" customFormat="1">
      <c r="A36" s="2" t="s">
        <v>283</v>
      </c>
      <c r="B36" s="19"/>
      <c r="C36" s="19" t="s">
        <v>214</v>
      </c>
      <c r="E36" s="19">
        <v>51243</v>
      </c>
      <c r="G36" s="2">
        <v>6199372</v>
      </c>
      <c r="H36" s="2"/>
      <c r="I36" s="2">
        <v>4135899</v>
      </c>
      <c r="J36" s="2"/>
      <c r="K36" s="2">
        <v>768628</v>
      </c>
      <c r="L36" s="2"/>
      <c r="M36" s="2">
        <v>205697</v>
      </c>
      <c r="N36" s="2"/>
      <c r="O36" s="2">
        <v>0</v>
      </c>
      <c r="P36" s="2"/>
      <c r="Q36" s="2">
        <v>0</v>
      </c>
      <c r="R36" s="2"/>
      <c r="S36" s="2">
        <v>1667</v>
      </c>
      <c r="T36" s="2"/>
      <c r="U36" s="2">
        <f>13880+32047</f>
        <v>45927</v>
      </c>
      <c r="V36" s="2"/>
      <c r="W36" s="30">
        <f t="shared" si="1"/>
        <v>11357190</v>
      </c>
      <c r="X36" s="2"/>
      <c r="Y36" s="2">
        <v>0</v>
      </c>
      <c r="Z36" s="2"/>
      <c r="AA36" s="2">
        <v>0</v>
      </c>
      <c r="AB36" s="2"/>
      <c r="AC36" s="2" t="s">
        <v>283</v>
      </c>
      <c r="AD36" s="19"/>
      <c r="AE36" s="19" t="s">
        <v>214</v>
      </c>
      <c r="AF36" s="2"/>
      <c r="AG36" s="2">
        <v>0</v>
      </c>
      <c r="AH36" s="2"/>
      <c r="AI36" s="2">
        <v>0</v>
      </c>
      <c r="AJ36" s="2"/>
      <c r="AK36" s="2">
        <v>0</v>
      </c>
      <c r="AL36" s="2"/>
      <c r="AM36" s="2">
        <v>0</v>
      </c>
      <c r="AN36" s="2"/>
      <c r="AO36" s="2">
        <v>0</v>
      </c>
      <c r="AP36" s="2"/>
      <c r="AQ36" s="2">
        <v>899984</v>
      </c>
      <c r="AR36" s="2"/>
      <c r="AS36" s="2">
        <v>0</v>
      </c>
      <c r="AT36" s="2"/>
      <c r="AU36" s="2">
        <f t="shared" si="2"/>
        <v>899984</v>
      </c>
      <c r="AV36" s="2"/>
      <c r="AW36" s="2">
        <f t="shared" si="0"/>
        <v>12257174</v>
      </c>
      <c r="AY36" s="97"/>
    </row>
    <row r="37" spans="1:51" s="96" customFormat="1">
      <c r="A37" s="2" t="s">
        <v>332</v>
      </c>
      <c r="B37" s="19"/>
      <c r="C37" s="19" t="s">
        <v>230</v>
      </c>
      <c r="E37" s="19">
        <v>51391</v>
      </c>
      <c r="G37" s="2">
        <v>6662724</v>
      </c>
      <c r="H37" s="2"/>
      <c r="I37" s="2">
        <v>5704901</v>
      </c>
      <c r="J37" s="2"/>
      <c r="K37" s="2">
        <v>403684</v>
      </c>
      <c r="L37" s="2"/>
      <c r="M37" s="2">
        <v>123632</v>
      </c>
      <c r="N37" s="2"/>
      <c r="O37" s="2">
        <v>0</v>
      </c>
      <c r="P37" s="2"/>
      <c r="Q37" s="2">
        <v>0</v>
      </c>
      <c r="R37" s="2"/>
      <c r="S37" s="2">
        <v>1814</v>
      </c>
      <c r="T37" s="2"/>
      <c r="U37" s="2">
        <f>50962+7596+91980</f>
        <v>150538</v>
      </c>
      <c r="V37" s="2"/>
      <c r="W37" s="30">
        <f t="shared" si="1"/>
        <v>13047293</v>
      </c>
      <c r="X37" s="2"/>
      <c r="Y37" s="2">
        <v>0</v>
      </c>
      <c r="Z37" s="2"/>
      <c r="AA37" s="2">
        <v>0</v>
      </c>
      <c r="AB37" s="2"/>
      <c r="AC37" s="2" t="s">
        <v>332</v>
      </c>
      <c r="AD37" s="19"/>
      <c r="AE37" s="19" t="s">
        <v>230</v>
      </c>
      <c r="AF37" s="2"/>
      <c r="AG37" s="2">
        <v>0</v>
      </c>
      <c r="AH37" s="2"/>
      <c r="AI37" s="2">
        <v>0</v>
      </c>
      <c r="AJ37" s="2"/>
      <c r="AK37" s="2">
        <v>0</v>
      </c>
      <c r="AL37" s="2"/>
      <c r="AM37" s="2">
        <v>0</v>
      </c>
      <c r="AN37" s="2"/>
      <c r="AO37" s="2">
        <v>0</v>
      </c>
      <c r="AP37" s="2"/>
      <c r="AQ37" s="2">
        <v>0</v>
      </c>
      <c r="AR37" s="2"/>
      <c r="AS37" s="2">
        <v>0</v>
      </c>
      <c r="AT37" s="2"/>
      <c r="AU37" s="2">
        <f t="shared" si="2"/>
        <v>0</v>
      </c>
      <c r="AV37" s="2"/>
      <c r="AW37" s="2">
        <f t="shared" si="0"/>
        <v>13047293</v>
      </c>
      <c r="AY37" s="97"/>
    </row>
    <row r="38" spans="1:51" s="96" customFormat="1">
      <c r="A38" s="2" t="s">
        <v>286</v>
      </c>
      <c r="B38" s="19"/>
      <c r="C38" s="19" t="s">
        <v>216</v>
      </c>
      <c r="E38" s="19">
        <v>62109</v>
      </c>
      <c r="G38" s="2">
        <v>7947134</v>
      </c>
      <c r="H38" s="2"/>
      <c r="I38" s="2">
        <v>7917494</v>
      </c>
      <c r="J38" s="2"/>
      <c r="K38" s="2">
        <v>84789</v>
      </c>
      <c r="L38" s="2"/>
      <c r="M38" s="2">
        <v>32471</v>
      </c>
      <c r="N38" s="2"/>
      <c r="O38" s="2">
        <v>0</v>
      </c>
      <c r="P38" s="2"/>
      <c r="Q38" s="2">
        <v>0</v>
      </c>
      <c r="R38" s="2"/>
      <c r="S38" s="2">
        <v>0</v>
      </c>
      <c r="T38" s="2"/>
      <c r="U38" s="2">
        <f>3385+107801+38277</f>
        <v>149463</v>
      </c>
      <c r="V38" s="2"/>
      <c r="W38" s="30">
        <f t="shared" si="1"/>
        <v>16131351</v>
      </c>
      <c r="X38" s="2"/>
      <c r="Y38" s="2">
        <v>0</v>
      </c>
      <c r="Z38" s="2"/>
      <c r="AA38" s="2">
        <v>0</v>
      </c>
      <c r="AB38" s="2"/>
      <c r="AC38" s="2" t="s">
        <v>352</v>
      </c>
      <c r="AD38" s="19"/>
      <c r="AE38" s="19" t="s">
        <v>216</v>
      </c>
      <c r="AF38" s="2"/>
      <c r="AG38" s="2">
        <v>0</v>
      </c>
      <c r="AH38" s="2"/>
      <c r="AI38" s="2">
        <v>0</v>
      </c>
      <c r="AJ38" s="2"/>
      <c r="AK38" s="2">
        <v>0</v>
      </c>
      <c r="AL38" s="2"/>
      <c r="AM38" s="2">
        <v>15218</v>
      </c>
      <c r="AN38" s="2"/>
      <c r="AO38" s="2">
        <v>0</v>
      </c>
      <c r="AP38" s="2"/>
      <c r="AQ38" s="2">
        <v>0</v>
      </c>
      <c r="AR38" s="2"/>
      <c r="AS38" s="2">
        <v>0</v>
      </c>
      <c r="AT38" s="2"/>
      <c r="AU38" s="2">
        <f t="shared" si="2"/>
        <v>15218</v>
      </c>
      <c r="AV38" s="2"/>
      <c r="AW38" s="2">
        <f t="shared" si="0"/>
        <v>16146569</v>
      </c>
      <c r="AY38" s="97"/>
    </row>
    <row r="39" spans="1:51" s="96" customFormat="1">
      <c r="A39" s="2" t="s">
        <v>333</v>
      </c>
      <c r="B39" s="19"/>
      <c r="C39" s="19" t="s">
        <v>222</v>
      </c>
      <c r="E39" s="19">
        <v>51284</v>
      </c>
      <c r="G39" s="2">
        <v>12812269</v>
      </c>
      <c r="H39" s="2"/>
      <c r="I39" s="2">
        <v>15781515</v>
      </c>
      <c r="J39" s="2"/>
      <c r="K39" s="2">
        <v>134696</v>
      </c>
      <c r="L39" s="2"/>
      <c r="M39" s="2">
        <v>58764</v>
      </c>
      <c r="N39" s="2"/>
      <c r="O39" s="2">
        <v>9849</v>
      </c>
      <c r="P39" s="2"/>
      <c r="Q39" s="2">
        <v>0</v>
      </c>
      <c r="R39" s="2"/>
      <c r="S39" s="2">
        <v>0</v>
      </c>
      <c r="T39" s="2"/>
      <c r="U39" s="2">
        <f>116007+428537</f>
        <v>544544</v>
      </c>
      <c r="V39" s="2"/>
      <c r="W39" s="30">
        <f t="shared" si="1"/>
        <v>29341637</v>
      </c>
      <c r="X39" s="2"/>
      <c r="Y39" s="2">
        <v>0</v>
      </c>
      <c r="Z39" s="2"/>
      <c r="AA39" s="2">
        <v>0</v>
      </c>
      <c r="AB39" s="2"/>
      <c r="AC39" s="2" t="s">
        <v>333</v>
      </c>
      <c r="AD39" s="19"/>
      <c r="AE39" s="19" t="s">
        <v>222</v>
      </c>
      <c r="AF39" s="2"/>
      <c r="AG39" s="2">
        <v>0</v>
      </c>
      <c r="AH39" s="2"/>
      <c r="AI39" s="2">
        <v>0</v>
      </c>
      <c r="AJ39" s="2"/>
      <c r="AK39" s="2">
        <v>0</v>
      </c>
      <c r="AL39" s="2"/>
      <c r="AM39" s="2">
        <v>0</v>
      </c>
      <c r="AN39" s="2"/>
      <c r="AO39" s="2">
        <v>0</v>
      </c>
      <c r="AP39" s="2"/>
      <c r="AQ39" s="2">
        <v>0</v>
      </c>
      <c r="AR39" s="2"/>
      <c r="AS39" s="2">
        <v>0</v>
      </c>
      <c r="AT39" s="2"/>
      <c r="AU39" s="2">
        <f t="shared" si="2"/>
        <v>0</v>
      </c>
      <c r="AV39" s="2"/>
      <c r="AW39" s="2">
        <f t="shared" si="0"/>
        <v>29341637</v>
      </c>
      <c r="AY39" s="97"/>
    </row>
    <row r="40" spans="1:51" s="96" customFormat="1">
      <c r="A40" s="2" t="s">
        <v>334</v>
      </c>
      <c r="B40" s="19"/>
      <c r="C40" s="19" t="s">
        <v>224</v>
      </c>
      <c r="E40" s="19">
        <v>51300</v>
      </c>
      <c r="G40" s="2">
        <v>5043320</v>
      </c>
      <c r="H40" s="2"/>
      <c r="I40" s="2">
        <v>8472205</v>
      </c>
      <c r="J40" s="2"/>
      <c r="K40" s="2">
        <v>263396</v>
      </c>
      <c r="L40" s="2"/>
      <c r="M40" s="2">
        <v>42059</v>
      </c>
      <c r="N40" s="2"/>
      <c r="O40" s="2">
        <v>0</v>
      </c>
      <c r="P40" s="2"/>
      <c r="Q40" s="2">
        <v>28364</v>
      </c>
      <c r="R40" s="2"/>
      <c r="S40" s="2">
        <v>0</v>
      </c>
      <c r="T40" s="2"/>
      <c r="U40" s="2">
        <f>1060+243672+39017</f>
        <v>283749</v>
      </c>
      <c r="V40" s="2"/>
      <c r="W40" s="30">
        <f t="shared" si="1"/>
        <v>14133093</v>
      </c>
      <c r="X40" s="2"/>
      <c r="Y40" s="2">
        <v>0</v>
      </c>
      <c r="Z40" s="2"/>
      <c r="AA40" s="2">
        <v>0</v>
      </c>
      <c r="AB40" s="2"/>
      <c r="AC40" s="2" t="s">
        <v>334</v>
      </c>
      <c r="AD40" s="19"/>
      <c r="AE40" s="19" t="s">
        <v>224</v>
      </c>
      <c r="AF40" s="2"/>
      <c r="AG40" s="2">
        <v>0</v>
      </c>
      <c r="AH40" s="2"/>
      <c r="AI40" s="2">
        <v>0</v>
      </c>
      <c r="AJ40" s="2"/>
      <c r="AK40" s="2">
        <v>0</v>
      </c>
      <c r="AL40" s="2"/>
      <c r="AM40" s="2">
        <v>0</v>
      </c>
      <c r="AN40" s="2"/>
      <c r="AO40" s="2">
        <v>0</v>
      </c>
      <c r="AP40" s="2"/>
      <c r="AQ40" s="2">
        <v>0</v>
      </c>
      <c r="AR40" s="2"/>
      <c r="AS40" s="2">
        <v>0</v>
      </c>
      <c r="AT40" s="2"/>
      <c r="AU40" s="2">
        <f t="shared" si="2"/>
        <v>0</v>
      </c>
      <c r="AV40" s="2"/>
      <c r="AW40" s="2">
        <f t="shared" si="0"/>
        <v>14133093</v>
      </c>
      <c r="AY40" s="97"/>
    </row>
    <row r="41" spans="1:51" hidden="1">
      <c r="A41" s="13" t="s">
        <v>279</v>
      </c>
      <c r="B41" s="19"/>
      <c r="C41" s="19" t="s">
        <v>209</v>
      </c>
      <c r="E41" s="19">
        <v>51334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0">
        <f t="shared" si="1"/>
        <v>0</v>
      </c>
      <c r="X41" s="2"/>
      <c r="Y41" s="2">
        <v>0</v>
      </c>
      <c r="Z41" s="2"/>
      <c r="AA41" s="2">
        <v>0</v>
      </c>
      <c r="AB41" s="2"/>
      <c r="AC41" s="13" t="s">
        <v>279</v>
      </c>
      <c r="AD41" s="19"/>
      <c r="AE41" s="19" t="s">
        <v>209</v>
      </c>
      <c r="AF41" s="2"/>
      <c r="AG41" s="2">
        <v>0</v>
      </c>
      <c r="AH41" s="2"/>
      <c r="AI41" s="2">
        <v>0</v>
      </c>
      <c r="AJ41" s="2"/>
      <c r="AK41" s="2">
        <v>0</v>
      </c>
      <c r="AL41" s="2"/>
      <c r="AM41" s="2">
        <v>0</v>
      </c>
      <c r="AN41" s="2"/>
      <c r="AO41" s="2">
        <v>0</v>
      </c>
      <c r="AP41" s="2"/>
      <c r="AQ41" s="2">
        <v>0</v>
      </c>
      <c r="AR41" s="2"/>
      <c r="AS41" s="2">
        <v>0</v>
      </c>
      <c r="AT41" s="2"/>
      <c r="AU41" s="2">
        <f t="shared" si="2"/>
        <v>0</v>
      </c>
      <c r="AV41" s="2"/>
      <c r="AW41" s="2">
        <f t="shared" si="0"/>
        <v>0</v>
      </c>
    </row>
    <row r="42" spans="1:51" s="96" customFormat="1">
      <c r="A42" s="2" t="s">
        <v>335</v>
      </c>
      <c r="B42" s="19"/>
      <c r="C42" s="19" t="s">
        <v>264</v>
      </c>
      <c r="E42" s="19">
        <v>51359</v>
      </c>
      <c r="G42" s="2">
        <v>10501647</v>
      </c>
      <c r="H42" s="2"/>
      <c r="I42" s="2">
        <v>16074865</v>
      </c>
      <c r="J42" s="2"/>
      <c r="K42" s="2">
        <v>470280</v>
      </c>
      <c r="L42" s="2"/>
      <c r="M42" s="2">
        <v>11200</v>
      </c>
      <c r="N42" s="2"/>
      <c r="O42" s="2">
        <v>20347</v>
      </c>
      <c r="P42" s="2"/>
      <c r="Q42" s="2">
        <v>0</v>
      </c>
      <c r="R42" s="2"/>
      <c r="S42" s="2">
        <v>184559</v>
      </c>
      <c r="T42" s="2"/>
      <c r="U42" s="2">
        <f>44148+264191</f>
        <v>308339</v>
      </c>
      <c r="V42" s="2"/>
      <c r="W42" s="30">
        <f t="shared" si="1"/>
        <v>27571237</v>
      </c>
      <c r="X42" s="2"/>
      <c r="Y42" s="2">
        <v>0</v>
      </c>
      <c r="Z42" s="2"/>
      <c r="AA42" s="2">
        <v>0</v>
      </c>
      <c r="AB42" s="2"/>
      <c r="AC42" s="2" t="s">
        <v>335</v>
      </c>
      <c r="AD42" s="19"/>
      <c r="AE42" s="19" t="s">
        <v>264</v>
      </c>
      <c r="AF42" s="2"/>
      <c r="AG42" s="2">
        <v>0</v>
      </c>
      <c r="AH42" s="2"/>
      <c r="AI42" s="2">
        <v>0</v>
      </c>
      <c r="AJ42" s="2"/>
      <c r="AK42" s="2">
        <v>120541</v>
      </c>
      <c r="AL42" s="2"/>
      <c r="AM42" s="2">
        <v>0</v>
      </c>
      <c r="AN42" s="2"/>
      <c r="AO42" s="2">
        <v>0</v>
      </c>
      <c r="AP42" s="2"/>
      <c r="AQ42" s="2">
        <v>0</v>
      </c>
      <c r="AR42" s="2"/>
      <c r="AS42" s="2">
        <v>0</v>
      </c>
      <c r="AT42" s="2"/>
      <c r="AU42" s="2">
        <f t="shared" si="2"/>
        <v>120541</v>
      </c>
      <c r="AV42" s="2"/>
      <c r="AW42" s="2">
        <f t="shared" si="0"/>
        <v>27691778</v>
      </c>
    </row>
    <row r="43" spans="1:51" s="96" customFormat="1">
      <c r="A43" s="2" t="s">
        <v>336</v>
      </c>
      <c r="B43" s="19"/>
      <c r="C43" s="19" t="s">
        <v>238</v>
      </c>
      <c r="E43" s="19">
        <v>51433</v>
      </c>
      <c r="G43" s="2">
        <v>4823622</v>
      </c>
      <c r="H43" s="2"/>
      <c r="I43" s="2">
        <v>10483061</v>
      </c>
      <c r="J43" s="2"/>
      <c r="K43" s="2">
        <v>152005</v>
      </c>
      <c r="L43" s="2"/>
      <c r="M43" s="2">
        <v>15849</v>
      </c>
      <c r="N43" s="2"/>
      <c r="O43" s="2">
        <v>0</v>
      </c>
      <c r="P43" s="2"/>
      <c r="Q43" s="2">
        <v>450</v>
      </c>
      <c r="R43" s="2"/>
      <c r="S43" s="2">
        <v>25</v>
      </c>
      <c r="T43" s="2"/>
      <c r="U43" s="2">
        <f>196127+53280+2368</f>
        <v>251775</v>
      </c>
      <c r="V43" s="2"/>
      <c r="W43" s="30">
        <f t="shared" si="1"/>
        <v>15726787</v>
      </c>
      <c r="X43" s="2"/>
      <c r="Y43" s="2">
        <v>0</v>
      </c>
      <c r="Z43" s="2"/>
      <c r="AA43" s="2">
        <v>0</v>
      </c>
      <c r="AB43" s="2"/>
      <c r="AC43" s="2" t="s">
        <v>336</v>
      </c>
      <c r="AD43" s="19"/>
      <c r="AE43" s="19" t="s">
        <v>238</v>
      </c>
      <c r="AF43" s="2"/>
      <c r="AG43" s="2">
        <v>0</v>
      </c>
      <c r="AH43" s="2"/>
      <c r="AI43" s="2">
        <v>0</v>
      </c>
      <c r="AJ43" s="2"/>
      <c r="AK43" s="2">
        <v>0</v>
      </c>
      <c r="AL43" s="2"/>
      <c r="AM43" s="2">
        <v>19073</v>
      </c>
      <c r="AN43" s="2"/>
      <c r="AO43" s="2">
        <v>0</v>
      </c>
      <c r="AP43" s="2"/>
      <c r="AQ43" s="2">
        <v>0</v>
      </c>
      <c r="AR43" s="2"/>
      <c r="AS43" s="2">
        <v>0</v>
      </c>
      <c r="AT43" s="2"/>
      <c r="AU43" s="2">
        <f t="shared" si="2"/>
        <v>19073</v>
      </c>
      <c r="AV43" s="2"/>
      <c r="AW43" s="2">
        <f t="shared" si="0"/>
        <v>15745860</v>
      </c>
    </row>
    <row r="44" spans="1:51" s="96" customFormat="1">
      <c r="A44" s="2" t="s">
        <v>337</v>
      </c>
      <c r="B44" s="19"/>
      <c r="C44" s="19" t="s">
        <v>288</v>
      </c>
      <c r="E44" s="19">
        <v>51375</v>
      </c>
      <c r="G44" s="2">
        <v>961457</v>
      </c>
      <c r="H44" s="2"/>
      <c r="I44" s="2">
        <v>5028805</v>
      </c>
      <c r="J44" s="2"/>
      <c r="K44" s="2">
        <v>132148</v>
      </c>
      <c r="L44" s="2"/>
      <c r="M44" s="2">
        <v>85049</v>
      </c>
      <c r="N44" s="2"/>
      <c r="O44" s="2">
        <v>0</v>
      </c>
      <c r="P44" s="2"/>
      <c r="Q44" s="2">
        <v>643</v>
      </c>
      <c r="R44" s="2"/>
      <c r="S44" s="2">
        <v>4706</v>
      </c>
      <c r="T44" s="2"/>
      <c r="U44" s="2">
        <f>52332+43505+53975-11</f>
        <v>149801</v>
      </c>
      <c r="V44" s="2"/>
      <c r="W44" s="30">
        <f t="shared" si="1"/>
        <v>6362609</v>
      </c>
      <c r="X44" s="2"/>
      <c r="Y44" s="2">
        <v>0</v>
      </c>
      <c r="Z44" s="2"/>
      <c r="AA44" s="2">
        <v>0</v>
      </c>
      <c r="AB44" s="2"/>
      <c r="AC44" s="2" t="s">
        <v>337</v>
      </c>
      <c r="AD44" s="19"/>
      <c r="AE44" s="19" t="s">
        <v>288</v>
      </c>
      <c r="AF44" s="2"/>
      <c r="AG44" s="2">
        <v>0</v>
      </c>
      <c r="AH44" s="2"/>
      <c r="AI44" s="2">
        <v>0</v>
      </c>
      <c r="AJ44" s="2"/>
      <c r="AK44" s="2">
        <v>0</v>
      </c>
      <c r="AL44" s="2"/>
      <c r="AM44" s="2">
        <v>0</v>
      </c>
      <c r="AN44" s="2"/>
      <c r="AO44" s="2">
        <v>0</v>
      </c>
      <c r="AP44" s="2"/>
      <c r="AQ44" s="2">
        <v>0</v>
      </c>
      <c r="AR44" s="2"/>
      <c r="AS44" s="2">
        <v>0</v>
      </c>
      <c r="AT44" s="2"/>
      <c r="AU44" s="2">
        <f t="shared" si="2"/>
        <v>0</v>
      </c>
      <c r="AV44" s="2"/>
      <c r="AW44" s="2">
        <f t="shared" ref="AW44:AW62" si="3">+AU44+W44</f>
        <v>6362609</v>
      </c>
    </row>
    <row r="45" spans="1:51" s="96" customFormat="1">
      <c r="A45" s="2" t="s">
        <v>338</v>
      </c>
      <c r="B45" s="19"/>
      <c r="C45" s="19" t="s">
        <v>236</v>
      </c>
      <c r="E45" s="19">
        <v>51417</v>
      </c>
      <c r="G45" s="2">
        <v>4746216</v>
      </c>
      <c r="H45" s="2"/>
      <c r="I45" s="2">
        <v>10863612</v>
      </c>
      <c r="J45" s="2"/>
      <c r="K45" s="2">
        <v>540888</v>
      </c>
      <c r="L45" s="2"/>
      <c r="M45" s="2">
        <v>0</v>
      </c>
      <c r="N45" s="2"/>
      <c r="O45" s="2">
        <v>0</v>
      </c>
      <c r="P45" s="2"/>
      <c r="Q45" s="2">
        <v>0</v>
      </c>
      <c r="R45" s="2"/>
      <c r="S45" s="2">
        <v>0</v>
      </c>
      <c r="T45" s="2"/>
      <c r="U45" s="2">
        <f>168183+71347</f>
        <v>239530</v>
      </c>
      <c r="V45" s="2"/>
      <c r="W45" s="30">
        <f t="shared" si="1"/>
        <v>16390246</v>
      </c>
      <c r="X45" s="2"/>
      <c r="Y45" s="2">
        <v>0</v>
      </c>
      <c r="Z45" s="2"/>
      <c r="AA45" s="2">
        <v>0</v>
      </c>
      <c r="AB45" s="2"/>
      <c r="AC45" s="2" t="s">
        <v>338</v>
      </c>
      <c r="AD45" s="19"/>
      <c r="AE45" s="19" t="s">
        <v>236</v>
      </c>
      <c r="AF45" s="2"/>
      <c r="AG45" s="2">
        <v>0</v>
      </c>
      <c r="AH45" s="2"/>
      <c r="AI45" s="2">
        <v>0</v>
      </c>
      <c r="AJ45" s="2"/>
      <c r="AK45" s="2">
        <v>49321</v>
      </c>
      <c r="AL45" s="2"/>
      <c r="AM45" s="2">
        <v>9733</v>
      </c>
      <c r="AN45" s="2"/>
      <c r="AO45" s="2">
        <v>0</v>
      </c>
      <c r="AP45" s="2"/>
      <c r="AQ45" s="2">
        <v>0</v>
      </c>
      <c r="AR45" s="2"/>
      <c r="AS45" s="2">
        <v>0</v>
      </c>
      <c r="AT45" s="2"/>
      <c r="AU45" s="2">
        <f t="shared" si="2"/>
        <v>59054</v>
      </c>
      <c r="AV45" s="2"/>
      <c r="AW45" s="2">
        <f t="shared" si="3"/>
        <v>16449300</v>
      </c>
    </row>
    <row r="46" spans="1:51" s="96" customFormat="1">
      <c r="A46" s="2" t="s">
        <v>339</v>
      </c>
      <c r="B46" s="19"/>
      <c r="C46" s="19" t="s">
        <v>177</v>
      </c>
      <c r="E46" s="19">
        <v>50948</v>
      </c>
      <c r="G46" s="2">
        <v>9392499</v>
      </c>
      <c r="H46" s="2"/>
      <c r="I46" s="2">
        <v>4263950</v>
      </c>
      <c r="J46" s="2"/>
      <c r="K46" s="2">
        <v>313855</v>
      </c>
      <c r="L46" s="2"/>
      <c r="M46" s="2">
        <v>177660</v>
      </c>
      <c r="N46" s="2"/>
      <c r="O46" s="2">
        <v>0</v>
      </c>
      <c r="P46" s="2"/>
      <c r="Q46" s="2">
        <v>0</v>
      </c>
      <c r="R46" s="2"/>
      <c r="S46" s="2">
        <v>0</v>
      </c>
      <c r="T46" s="2"/>
      <c r="U46" s="2">
        <v>67158</v>
      </c>
      <c r="V46" s="2"/>
      <c r="W46" s="30">
        <f t="shared" si="1"/>
        <v>14215122</v>
      </c>
      <c r="X46" s="2"/>
      <c r="Y46" s="2">
        <v>0</v>
      </c>
      <c r="Z46" s="2"/>
      <c r="AA46" s="2">
        <v>0</v>
      </c>
      <c r="AB46" s="2"/>
      <c r="AC46" s="2" t="s">
        <v>339</v>
      </c>
      <c r="AD46" s="19"/>
      <c r="AE46" s="19" t="s">
        <v>177</v>
      </c>
      <c r="AF46" s="2"/>
      <c r="AG46" s="2">
        <v>0</v>
      </c>
      <c r="AH46" s="2"/>
      <c r="AI46" s="2">
        <v>0</v>
      </c>
      <c r="AJ46" s="2"/>
      <c r="AK46" s="2">
        <v>0</v>
      </c>
      <c r="AL46" s="2"/>
      <c r="AM46" s="2">
        <v>25311</v>
      </c>
      <c r="AN46" s="2"/>
      <c r="AO46" s="2">
        <v>0</v>
      </c>
      <c r="AP46" s="2"/>
      <c r="AQ46" s="2">
        <v>0</v>
      </c>
      <c r="AR46" s="2"/>
      <c r="AS46" s="2">
        <v>0</v>
      </c>
      <c r="AT46" s="2"/>
      <c r="AU46" s="2">
        <f t="shared" si="2"/>
        <v>25311</v>
      </c>
      <c r="AV46" s="2"/>
      <c r="AW46" s="2">
        <f t="shared" si="3"/>
        <v>14240433</v>
      </c>
      <c r="AY46" s="13" t="s">
        <v>401</v>
      </c>
    </row>
    <row r="47" spans="1:51" s="96" customFormat="1">
      <c r="A47" s="2" t="s">
        <v>340</v>
      </c>
      <c r="B47" s="19"/>
      <c r="C47" s="19" t="s">
        <v>250</v>
      </c>
      <c r="E47" s="19">
        <v>63495</v>
      </c>
      <c r="G47" s="2">
        <v>3112429</v>
      </c>
      <c r="H47" s="2"/>
      <c r="I47" s="2">
        <v>2988058</v>
      </c>
      <c r="J47" s="2"/>
      <c r="K47" s="2">
        <v>176047</v>
      </c>
      <c r="L47" s="2"/>
      <c r="M47" s="2">
        <v>555641</v>
      </c>
      <c r="N47" s="2"/>
      <c r="O47" s="2">
        <v>0</v>
      </c>
      <c r="P47" s="2"/>
      <c r="Q47" s="2">
        <v>0</v>
      </c>
      <c r="R47" s="2"/>
      <c r="S47" s="2">
        <v>0</v>
      </c>
      <c r="T47" s="2"/>
      <c r="U47" s="2">
        <f>16245+24895</f>
        <v>41140</v>
      </c>
      <c r="V47" s="2"/>
      <c r="W47" s="30">
        <f t="shared" si="1"/>
        <v>6873315</v>
      </c>
      <c r="X47" s="2"/>
      <c r="Y47" s="2">
        <v>72667</v>
      </c>
      <c r="Z47" s="2"/>
      <c r="AA47" s="2">
        <v>0</v>
      </c>
      <c r="AB47" s="2"/>
      <c r="AC47" s="2" t="s">
        <v>340</v>
      </c>
      <c r="AD47" s="19"/>
      <c r="AE47" s="19" t="s">
        <v>250</v>
      </c>
      <c r="AF47" s="2"/>
      <c r="AG47" s="2">
        <v>0</v>
      </c>
      <c r="AH47" s="2"/>
      <c r="AI47" s="2">
        <v>0</v>
      </c>
      <c r="AJ47" s="2"/>
      <c r="AK47" s="2">
        <v>0</v>
      </c>
      <c r="AL47" s="2"/>
      <c r="AM47" s="2">
        <v>2374</v>
      </c>
      <c r="AN47" s="2"/>
      <c r="AO47" s="2">
        <v>0</v>
      </c>
      <c r="AP47" s="2"/>
      <c r="AQ47" s="2">
        <v>0</v>
      </c>
      <c r="AR47" s="2"/>
      <c r="AS47" s="2">
        <v>0</v>
      </c>
      <c r="AT47" s="2"/>
      <c r="AU47" s="2">
        <f t="shared" si="2"/>
        <v>75041</v>
      </c>
      <c r="AV47" s="2"/>
      <c r="AW47" s="2">
        <f t="shared" si="3"/>
        <v>6948356</v>
      </c>
      <c r="AY47" s="97"/>
    </row>
    <row r="48" spans="1:51" s="96" customFormat="1">
      <c r="A48" s="2" t="s">
        <v>341</v>
      </c>
      <c r="B48" s="19"/>
      <c r="C48" s="19" t="s">
        <v>242</v>
      </c>
      <c r="E48" s="19">
        <v>51490</v>
      </c>
      <c r="G48" s="2">
        <v>1878133</v>
      </c>
      <c r="H48" s="2"/>
      <c r="I48" s="2">
        <v>4372090</v>
      </c>
      <c r="J48" s="2"/>
      <c r="K48" s="2">
        <v>197963</v>
      </c>
      <c r="L48" s="2"/>
      <c r="M48" s="2">
        <v>67373</v>
      </c>
      <c r="N48" s="2"/>
      <c r="O48" s="2">
        <v>3641</v>
      </c>
      <c r="P48" s="2"/>
      <c r="Q48" s="2">
        <v>0</v>
      </c>
      <c r="R48" s="2"/>
      <c r="S48" s="2">
        <v>0</v>
      </c>
      <c r="T48" s="2"/>
      <c r="U48" s="2">
        <f>118039+3140</f>
        <v>121179</v>
      </c>
      <c r="V48" s="2"/>
      <c r="W48" s="30">
        <f t="shared" si="1"/>
        <v>6640379</v>
      </c>
      <c r="X48" s="2"/>
      <c r="Y48" s="2">
        <v>0</v>
      </c>
      <c r="Z48" s="2"/>
      <c r="AA48" s="2">
        <v>0</v>
      </c>
      <c r="AB48" s="2"/>
      <c r="AC48" s="2" t="s">
        <v>341</v>
      </c>
      <c r="AD48" s="19"/>
      <c r="AE48" s="19" t="s">
        <v>242</v>
      </c>
      <c r="AF48" s="2"/>
      <c r="AG48" s="2">
        <v>0</v>
      </c>
      <c r="AH48" s="2"/>
      <c r="AI48" s="2">
        <v>0</v>
      </c>
      <c r="AJ48" s="2"/>
      <c r="AK48" s="2">
        <v>0</v>
      </c>
      <c r="AL48" s="2"/>
      <c r="AM48" s="2">
        <v>6865</v>
      </c>
      <c r="AN48" s="2"/>
      <c r="AO48" s="2">
        <v>0</v>
      </c>
      <c r="AP48" s="2"/>
      <c r="AQ48" s="2">
        <v>0</v>
      </c>
      <c r="AR48" s="2"/>
      <c r="AS48" s="2">
        <v>0</v>
      </c>
      <c r="AT48" s="2"/>
      <c r="AU48" s="2">
        <f t="shared" si="2"/>
        <v>6865</v>
      </c>
      <c r="AV48" s="2"/>
      <c r="AW48" s="2">
        <f t="shared" si="3"/>
        <v>6647244</v>
      </c>
      <c r="AY48" s="97"/>
    </row>
    <row r="49" spans="1:51" s="96" customFormat="1">
      <c r="A49" s="2" t="s">
        <v>268</v>
      </c>
      <c r="B49" s="19"/>
      <c r="C49" s="19" t="s">
        <v>164</v>
      </c>
      <c r="E49" s="19">
        <v>50799</v>
      </c>
      <c r="G49" s="2">
        <v>1672632</v>
      </c>
      <c r="H49" s="2"/>
      <c r="I49" s="2">
        <v>3554029</v>
      </c>
      <c r="J49" s="2"/>
      <c r="K49" s="2">
        <v>0</v>
      </c>
      <c r="L49" s="2"/>
      <c r="M49" s="2">
        <v>788</v>
      </c>
      <c r="N49" s="2"/>
      <c r="O49" s="2">
        <v>0</v>
      </c>
      <c r="P49" s="2"/>
      <c r="Q49" s="2">
        <v>0</v>
      </c>
      <c r="R49" s="2"/>
      <c r="S49" s="2">
        <v>23</v>
      </c>
      <c r="T49" s="2"/>
      <c r="U49" s="2">
        <f>1375+2731+550</f>
        <v>4656</v>
      </c>
      <c r="V49" s="2"/>
      <c r="W49" s="30">
        <f t="shared" si="1"/>
        <v>5232128</v>
      </c>
      <c r="X49" s="2"/>
      <c r="Y49" s="2">
        <v>0</v>
      </c>
      <c r="Z49" s="2"/>
      <c r="AA49" s="2">
        <v>0</v>
      </c>
      <c r="AB49" s="2"/>
      <c r="AC49" s="2" t="s">
        <v>268</v>
      </c>
      <c r="AD49" s="19"/>
      <c r="AE49" s="19" t="s">
        <v>164</v>
      </c>
      <c r="AF49" s="2"/>
      <c r="AG49" s="2">
        <v>0</v>
      </c>
      <c r="AH49" s="2"/>
      <c r="AI49" s="2">
        <v>0</v>
      </c>
      <c r="AJ49" s="2"/>
      <c r="AK49" s="2">
        <v>0</v>
      </c>
      <c r="AL49" s="2"/>
      <c r="AM49" s="2">
        <v>12354</v>
      </c>
      <c r="AN49" s="2"/>
      <c r="AO49" s="2">
        <v>0</v>
      </c>
      <c r="AP49" s="2"/>
      <c r="AQ49" s="2">
        <v>0</v>
      </c>
      <c r="AR49" s="2"/>
      <c r="AS49" s="2">
        <v>0</v>
      </c>
      <c r="AT49" s="2"/>
      <c r="AU49" s="2">
        <f t="shared" si="2"/>
        <v>12354</v>
      </c>
      <c r="AV49" s="2"/>
      <c r="AW49" s="2">
        <f t="shared" si="3"/>
        <v>5244482</v>
      </c>
    </row>
    <row r="50" spans="1:51" s="96" customFormat="1">
      <c r="A50" s="13" t="s">
        <v>387</v>
      </c>
      <c r="B50" s="19"/>
      <c r="C50" s="19" t="s">
        <v>169</v>
      </c>
      <c r="E50" s="19">
        <v>51532</v>
      </c>
      <c r="G50" s="2">
        <v>5065289</v>
      </c>
      <c r="H50" s="2"/>
      <c r="I50" s="2">
        <v>6575842</v>
      </c>
      <c r="J50" s="2"/>
      <c r="K50" s="2">
        <v>89334</v>
      </c>
      <c r="L50" s="2"/>
      <c r="M50" s="2">
        <v>50789</v>
      </c>
      <c r="N50" s="2"/>
      <c r="O50" s="2">
        <v>0</v>
      </c>
      <c r="P50" s="2"/>
      <c r="Q50" s="2">
        <v>0</v>
      </c>
      <c r="R50" s="2"/>
      <c r="S50" s="2">
        <v>0</v>
      </c>
      <c r="T50" s="2"/>
      <c r="U50" s="2">
        <f>22511+2215+678</f>
        <v>25404</v>
      </c>
      <c r="V50" s="2"/>
      <c r="W50" s="30">
        <f t="shared" si="1"/>
        <v>11806658</v>
      </c>
      <c r="X50" s="2"/>
      <c r="Y50" s="2">
        <v>0</v>
      </c>
      <c r="Z50" s="2"/>
      <c r="AA50" s="2">
        <v>0</v>
      </c>
      <c r="AB50" s="2"/>
      <c r="AC50" s="2" t="s">
        <v>269</v>
      </c>
      <c r="AD50" s="19"/>
      <c r="AE50" s="19" t="s">
        <v>169</v>
      </c>
      <c r="AF50" s="2"/>
      <c r="AG50" s="2">
        <v>0</v>
      </c>
      <c r="AH50" s="2"/>
      <c r="AI50" s="2">
        <v>0</v>
      </c>
      <c r="AJ50" s="2"/>
      <c r="AK50" s="2">
        <v>161095</v>
      </c>
      <c r="AL50" s="2"/>
      <c r="AM50" s="2">
        <v>103615</v>
      </c>
      <c r="AN50" s="2"/>
      <c r="AO50" s="2">
        <v>0</v>
      </c>
      <c r="AP50" s="2"/>
      <c r="AQ50" s="2">
        <v>0</v>
      </c>
      <c r="AR50" s="2"/>
      <c r="AS50" s="2">
        <v>0</v>
      </c>
      <c r="AT50" s="2"/>
      <c r="AU50" s="2">
        <f t="shared" si="2"/>
        <v>264710</v>
      </c>
      <c r="AV50" s="2"/>
      <c r="AW50" s="2">
        <f t="shared" si="3"/>
        <v>12071368</v>
      </c>
    </row>
    <row r="51" spans="1:51" s="96" customFormat="1">
      <c r="A51" s="13" t="s">
        <v>289</v>
      </c>
      <c r="B51" s="19"/>
      <c r="C51" s="19" t="s">
        <v>248</v>
      </c>
      <c r="E51" s="19">
        <v>62026</v>
      </c>
      <c r="G51" s="2">
        <v>2314249</v>
      </c>
      <c r="H51" s="2"/>
      <c r="I51" s="2">
        <f>3898+4520979+14047</f>
        <v>4538924</v>
      </c>
      <c r="J51" s="2"/>
      <c r="K51" s="2">
        <v>380896</v>
      </c>
      <c r="L51" s="2"/>
      <c r="M51" s="2">
        <v>0</v>
      </c>
      <c r="N51" s="2"/>
      <c r="O51" s="2">
        <v>0</v>
      </c>
      <c r="P51" s="2"/>
      <c r="Q51" s="2">
        <v>0</v>
      </c>
      <c r="R51" s="2"/>
      <c r="S51" s="2">
        <v>0</v>
      </c>
      <c r="T51" s="2"/>
      <c r="U51" s="2">
        <v>188581</v>
      </c>
      <c r="V51" s="2"/>
      <c r="W51" s="30">
        <f t="shared" si="1"/>
        <v>7422650</v>
      </c>
      <c r="X51" s="2"/>
      <c r="Y51" s="2">
        <v>0</v>
      </c>
      <c r="Z51" s="2"/>
      <c r="AA51" s="2">
        <v>0</v>
      </c>
      <c r="AB51" s="2"/>
      <c r="AC51" s="13" t="s">
        <v>289</v>
      </c>
      <c r="AD51" s="19"/>
      <c r="AE51" s="19" t="s">
        <v>248</v>
      </c>
      <c r="AF51" s="2"/>
      <c r="AG51" s="2">
        <v>0</v>
      </c>
      <c r="AH51" s="2"/>
      <c r="AI51" s="2">
        <v>0</v>
      </c>
      <c r="AJ51" s="2"/>
      <c r="AK51" s="2">
        <v>0</v>
      </c>
      <c r="AL51" s="2"/>
      <c r="AM51" s="2">
        <v>22994</v>
      </c>
      <c r="AN51" s="2"/>
      <c r="AO51" s="2">
        <v>0</v>
      </c>
      <c r="AP51" s="2"/>
      <c r="AQ51" s="2">
        <v>0</v>
      </c>
      <c r="AR51" s="2"/>
      <c r="AS51" s="2">
        <v>0</v>
      </c>
      <c r="AT51" s="2"/>
      <c r="AU51" s="2">
        <f t="shared" si="2"/>
        <v>22994</v>
      </c>
      <c r="AV51" s="2"/>
      <c r="AW51" s="2">
        <f t="shared" si="3"/>
        <v>7445644</v>
      </c>
    </row>
    <row r="52" spans="1:51">
      <c r="A52" s="13" t="s">
        <v>398</v>
      </c>
      <c r="B52" s="19"/>
      <c r="C52" s="19" t="s">
        <v>282</v>
      </c>
      <c r="E52" s="19"/>
      <c r="G52" s="2">
        <v>7930060</v>
      </c>
      <c r="H52" s="2"/>
      <c r="I52" s="2">
        <v>3232217</v>
      </c>
      <c r="J52" s="2"/>
      <c r="K52" s="2">
        <v>239311</v>
      </c>
      <c r="L52" s="2"/>
      <c r="M52" s="2">
        <v>156080</v>
      </c>
      <c r="N52" s="2"/>
      <c r="O52" s="2">
        <v>0</v>
      </c>
      <c r="P52" s="2"/>
      <c r="Q52" s="2">
        <v>0</v>
      </c>
      <c r="R52" s="2"/>
      <c r="S52" s="2">
        <v>0</v>
      </c>
      <c r="T52" s="2"/>
      <c r="U52" s="2">
        <v>202402</v>
      </c>
      <c r="V52" s="2"/>
      <c r="W52" s="30">
        <f t="shared" si="1"/>
        <v>11760070</v>
      </c>
      <c r="X52" s="2"/>
      <c r="Y52" s="2">
        <v>0</v>
      </c>
      <c r="Z52" s="2"/>
      <c r="AA52" s="2">
        <v>0</v>
      </c>
      <c r="AB52" s="2"/>
      <c r="AC52" s="13" t="s">
        <v>398</v>
      </c>
      <c r="AD52" s="19"/>
      <c r="AE52" s="19" t="s">
        <v>282</v>
      </c>
      <c r="AF52" s="2"/>
      <c r="AG52" s="2">
        <v>0</v>
      </c>
      <c r="AH52" s="2"/>
      <c r="AI52" s="2">
        <v>0</v>
      </c>
      <c r="AJ52" s="2"/>
      <c r="AK52" s="2">
        <v>0</v>
      </c>
      <c r="AL52" s="2"/>
      <c r="AM52" s="2">
        <v>53080</v>
      </c>
      <c r="AN52" s="2"/>
      <c r="AO52" s="2">
        <v>0</v>
      </c>
      <c r="AP52" s="2"/>
      <c r="AQ52" s="2">
        <v>0</v>
      </c>
      <c r="AR52" s="2"/>
      <c r="AS52" s="2">
        <v>0</v>
      </c>
      <c r="AT52" s="2"/>
      <c r="AU52" s="2">
        <f t="shared" si="2"/>
        <v>53080</v>
      </c>
      <c r="AV52" s="2"/>
      <c r="AW52" s="2">
        <f t="shared" si="3"/>
        <v>11813150</v>
      </c>
      <c r="AY52" s="3" t="s">
        <v>402</v>
      </c>
    </row>
    <row r="53" spans="1:51" s="96" customFormat="1">
      <c r="A53" s="13" t="s">
        <v>423</v>
      </c>
      <c r="B53" s="19"/>
      <c r="C53" s="19" t="s">
        <v>157</v>
      </c>
      <c r="E53" s="19">
        <v>51607</v>
      </c>
      <c r="G53" s="2">
        <v>3083441</v>
      </c>
      <c r="H53" s="2"/>
      <c r="I53" s="2">
        <v>3912768</v>
      </c>
      <c r="J53" s="2"/>
      <c r="K53" s="2">
        <v>143841</v>
      </c>
      <c r="L53" s="2"/>
      <c r="M53" s="2">
        <v>0</v>
      </c>
      <c r="N53" s="2"/>
      <c r="O53" s="2">
        <v>0</v>
      </c>
      <c r="P53" s="2"/>
      <c r="Q53" s="2">
        <v>0</v>
      </c>
      <c r="R53" s="2"/>
      <c r="S53" s="2">
        <v>0</v>
      </c>
      <c r="T53" s="2"/>
      <c r="U53" s="2">
        <v>5245</v>
      </c>
      <c r="V53" s="2"/>
      <c r="W53" s="30">
        <f t="shared" si="1"/>
        <v>7145295</v>
      </c>
      <c r="X53" s="2"/>
      <c r="Y53" s="2">
        <v>0</v>
      </c>
      <c r="Z53" s="2"/>
      <c r="AA53" s="2">
        <v>0</v>
      </c>
      <c r="AB53" s="2"/>
      <c r="AC53" s="13" t="s">
        <v>266</v>
      </c>
      <c r="AD53" s="19"/>
      <c r="AE53" s="19" t="s">
        <v>157</v>
      </c>
      <c r="AF53" s="2"/>
      <c r="AG53" s="2">
        <v>0</v>
      </c>
      <c r="AH53" s="2"/>
      <c r="AI53" s="2">
        <v>0</v>
      </c>
      <c r="AJ53" s="2"/>
      <c r="AK53" s="2">
        <v>0</v>
      </c>
      <c r="AL53" s="2"/>
      <c r="AM53" s="2">
        <v>0</v>
      </c>
      <c r="AN53" s="2"/>
      <c r="AO53" s="2">
        <v>0</v>
      </c>
      <c r="AP53" s="2"/>
      <c r="AQ53" s="2">
        <v>0</v>
      </c>
      <c r="AR53" s="2"/>
      <c r="AS53" s="2">
        <v>0</v>
      </c>
      <c r="AT53" s="2"/>
      <c r="AU53" s="2">
        <f t="shared" si="2"/>
        <v>0</v>
      </c>
      <c r="AV53" s="2"/>
      <c r="AW53" s="2">
        <f t="shared" si="3"/>
        <v>7145295</v>
      </c>
    </row>
    <row r="54" spans="1:51" s="96" customFormat="1">
      <c r="A54" s="13" t="s">
        <v>284</v>
      </c>
      <c r="B54" s="19"/>
      <c r="C54" s="19" t="s">
        <v>285</v>
      </c>
      <c r="E54" s="19">
        <v>65268</v>
      </c>
      <c r="G54" s="2">
        <v>3670084</v>
      </c>
      <c r="H54" s="2"/>
      <c r="I54" s="2">
        <v>6594271</v>
      </c>
      <c r="J54" s="2"/>
      <c r="K54" s="2">
        <v>31492</v>
      </c>
      <c r="L54" s="2"/>
      <c r="M54" s="2">
        <v>24503</v>
      </c>
      <c r="N54" s="2"/>
      <c r="O54" s="2">
        <v>615</v>
      </c>
      <c r="P54" s="2"/>
      <c r="Q54" s="2">
        <v>24308</v>
      </c>
      <c r="R54" s="2"/>
      <c r="S54" s="2">
        <v>1850</v>
      </c>
      <c r="T54" s="2"/>
      <c r="U54" s="2">
        <f>91427+7170</f>
        <v>98597</v>
      </c>
      <c r="V54" s="2"/>
      <c r="W54" s="30">
        <f t="shared" si="1"/>
        <v>10445720</v>
      </c>
      <c r="X54" s="2"/>
      <c r="Y54" s="2">
        <v>0</v>
      </c>
      <c r="Z54" s="2"/>
      <c r="AA54" s="2">
        <v>0</v>
      </c>
      <c r="AB54" s="2"/>
      <c r="AC54" s="13" t="s">
        <v>284</v>
      </c>
      <c r="AD54" s="19"/>
      <c r="AE54" s="19" t="s">
        <v>285</v>
      </c>
      <c r="AF54" s="2"/>
      <c r="AG54" s="2">
        <v>0</v>
      </c>
      <c r="AH54" s="2"/>
      <c r="AI54" s="2">
        <v>0</v>
      </c>
      <c r="AJ54" s="2"/>
      <c r="AK54" s="2">
        <v>0</v>
      </c>
      <c r="AL54" s="2"/>
      <c r="AM54" s="2">
        <v>0</v>
      </c>
      <c r="AN54" s="2"/>
      <c r="AO54" s="2">
        <v>0</v>
      </c>
      <c r="AP54" s="2"/>
      <c r="AQ54" s="2">
        <v>0</v>
      </c>
      <c r="AR54" s="2"/>
      <c r="AS54" s="2">
        <v>0</v>
      </c>
      <c r="AT54" s="2"/>
      <c r="AU54" s="2">
        <f t="shared" si="2"/>
        <v>0</v>
      </c>
      <c r="AV54" s="2"/>
      <c r="AW54" s="2">
        <f t="shared" si="3"/>
        <v>10445720</v>
      </c>
    </row>
    <row r="55" spans="1:51" s="96" customFormat="1">
      <c r="A55" s="13" t="s">
        <v>342</v>
      </c>
      <c r="B55" s="19"/>
      <c r="C55" s="19" t="s">
        <v>252</v>
      </c>
      <c r="E55" s="19">
        <v>51631</v>
      </c>
      <c r="G55" s="2">
        <v>5185679</v>
      </c>
      <c r="H55" s="2"/>
      <c r="I55" s="2">
        <f>7396334+56633</f>
        <v>7452967</v>
      </c>
      <c r="J55" s="2"/>
      <c r="K55" s="2">
        <v>401649</v>
      </c>
      <c r="L55" s="2"/>
      <c r="M55" s="2">
        <v>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f>61812+140227+197833+134834</f>
        <v>534706</v>
      </c>
      <c r="V55" s="2"/>
      <c r="W55" s="30">
        <f t="shared" si="1"/>
        <v>13575001</v>
      </c>
      <c r="X55" s="2"/>
      <c r="Y55" s="2">
        <v>0</v>
      </c>
      <c r="Z55" s="2"/>
      <c r="AA55" s="2">
        <v>0</v>
      </c>
      <c r="AB55" s="2"/>
      <c r="AC55" s="13" t="s">
        <v>342</v>
      </c>
      <c r="AD55" s="19"/>
      <c r="AE55" s="19" t="s">
        <v>252</v>
      </c>
      <c r="AF55" s="2"/>
      <c r="AG55" s="2">
        <v>0</v>
      </c>
      <c r="AH55" s="2"/>
      <c r="AI55" s="2">
        <v>0</v>
      </c>
      <c r="AJ55" s="2"/>
      <c r="AK55" s="2">
        <v>0</v>
      </c>
      <c r="AL55" s="2"/>
      <c r="AM55" s="2">
        <v>470</v>
      </c>
      <c r="AN55" s="2"/>
      <c r="AO55" s="2">
        <v>0</v>
      </c>
      <c r="AP55" s="2"/>
      <c r="AQ55" s="2">
        <v>0</v>
      </c>
      <c r="AR55" s="2"/>
      <c r="AS55" s="2">
        <v>0</v>
      </c>
      <c r="AT55" s="2"/>
      <c r="AU55" s="2">
        <f t="shared" si="2"/>
        <v>470</v>
      </c>
      <c r="AV55" s="2"/>
      <c r="AW55" s="2">
        <f t="shared" si="3"/>
        <v>13575471</v>
      </c>
    </row>
    <row r="56" spans="1:51" s="96" customFormat="1">
      <c r="A56" s="13" t="s">
        <v>270</v>
      </c>
      <c r="B56" s="19"/>
      <c r="C56" s="19" t="s">
        <v>171</v>
      </c>
      <c r="E56" s="19">
        <v>62802</v>
      </c>
      <c r="G56" s="2">
        <v>3097019</v>
      </c>
      <c r="H56" s="2"/>
      <c r="I56" s="2">
        <v>3845289</v>
      </c>
      <c r="J56" s="2"/>
      <c r="K56" s="2">
        <v>234839</v>
      </c>
      <c r="L56" s="2"/>
      <c r="M56" s="2">
        <v>60331</v>
      </c>
      <c r="N56" s="2"/>
      <c r="O56" s="2">
        <v>0</v>
      </c>
      <c r="P56" s="2"/>
      <c r="Q56" s="2">
        <v>0</v>
      </c>
      <c r="R56" s="2"/>
      <c r="S56" s="2">
        <v>0</v>
      </c>
      <c r="T56" s="2"/>
      <c r="U56" s="2">
        <v>9884</v>
      </c>
      <c r="V56" s="2"/>
      <c r="W56" s="30">
        <f t="shared" si="1"/>
        <v>7247362</v>
      </c>
      <c r="X56" s="2"/>
      <c r="Y56" s="2">
        <v>0</v>
      </c>
      <c r="Z56" s="2"/>
      <c r="AA56" s="2">
        <v>0</v>
      </c>
      <c r="AB56" s="2"/>
      <c r="AC56" s="13" t="s">
        <v>270</v>
      </c>
      <c r="AD56" s="19"/>
      <c r="AE56" s="19" t="s">
        <v>171</v>
      </c>
      <c r="AF56" s="2"/>
      <c r="AG56" s="2">
        <v>0</v>
      </c>
      <c r="AH56" s="2"/>
      <c r="AI56" s="2">
        <v>0</v>
      </c>
      <c r="AJ56" s="2"/>
      <c r="AK56" s="2">
        <v>0</v>
      </c>
      <c r="AL56" s="2"/>
      <c r="AM56" s="2">
        <v>2850</v>
      </c>
      <c r="AN56" s="2"/>
      <c r="AO56" s="2">
        <v>0</v>
      </c>
      <c r="AP56" s="2"/>
      <c r="AQ56" s="2">
        <v>0</v>
      </c>
      <c r="AR56" s="2"/>
      <c r="AS56" s="2">
        <v>0</v>
      </c>
      <c r="AT56" s="2"/>
      <c r="AU56" s="2">
        <f t="shared" si="2"/>
        <v>2850</v>
      </c>
      <c r="AV56" s="2"/>
      <c r="AW56" s="2">
        <f t="shared" si="3"/>
        <v>7250212</v>
      </c>
    </row>
    <row r="57" spans="1:51" s="96" customFormat="1">
      <c r="A57" s="13" t="s">
        <v>287</v>
      </c>
      <c r="B57" s="19"/>
      <c r="C57" s="19" t="s">
        <v>220</v>
      </c>
      <c r="E57" s="19">
        <v>62125</v>
      </c>
      <c r="G57" s="2">
        <v>5810624</v>
      </c>
      <c r="H57" s="2"/>
      <c r="I57" s="2">
        <v>11213895</v>
      </c>
      <c r="J57" s="2"/>
      <c r="K57" s="2">
        <v>230868</v>
      </c>
      <c r="L57" s="2"/>
      <c r="M57" s="2">
        <v>57307</v>
      </c>
      <c r="N57" s="2"/>
      <c r="O57" s="2">
        <v>0</v>
      </c>
      <c r="P57" s="2"/>
      <c r="Q57" s="2">
        <v>0</v>
      </c>
      <c r="R57" s="2"/>
      <c r="S57" s="2">
        <v>1236</v>
      </c>
      <c r="T57" s="2"/>
      <c r="U57" s="2">
        <f>31479+1793+107454</f>
        <v>140726</v>
      </c>
      <c r="V57" s="2"/>
      <c r="W57" s="30">
        <f t="shared" si="1"/>
        <v>17454656</v>
      </c>
      <c r="X57" s="2"/>
      <c r="Y57" s="2">
        <v>0</v>
      </c>
      <c r="Z57" s="2"/>
      <c r="AA57" s="2">
        <v>0</v>
      </c>
      <c r="AB57" s="2"/>
      <c r="AC57" s="13" t="s">
        <v>287</v>
      </c>
      <c r="AD57" s="19"/>
      <c r="AE57" s="19" t="s">
        <v>220</v>
      </c>
      <c r="AF57" s="2"/>
      <c r="AG57" s="2">
        <v>0</v>
      </c>
      <c r="AH57" s="2"/>
      <c r="AI57" s="2">
        <v>0</v>
      </c>
      <c r="AJ57" s="2"/>
      <c r="AK57" s="2">
        <v>0</v>
      </c>
      <c r="AL57" s="2"/>
      <c r="AM57" s="2">
        <v>0</v>
      </c>
      <c r="AN57" s="2"/>
      <c r="AO57" s="2">
        <v>0</v>
      </c>
      <c r="AP57" s="2"/>
      <c r="AQ57" s="2">
        <v>0</v>
      </c>
      <c r="AR57" s="2"/>
      <c r="AS57" s="2">
        <v>0</v>
      </c>
      <c r="AT57" s="2"/>
      <c r="AU57" s="2">
        <f t="shared" si="2"/>
        <v>0</v>
      </c>
      <c r="AV57" s="2"/>
      <c r="AW57" s="2">
        <f t="shared" si="3"/>
        <v>17454656</v>
      </c>
    </row>
    <row r="58" spans="1:51" s="96" customFormat="1">
      <c r="A58" s="13" t="s">
        <v>343</v>
      </c>
      <c r="B58" s="19"/>
      <c r="C58" s="19" t="s">
        <v>240</v>
      </c>
      <c r="E58" s="19">
        <v>51458</v>
      </c>
      <c r="G58" s="2">
        <v>4009836</v>
      </c>
      <c r="H58" s="2"/>
      <c r="I58" s="2">
        <v>9197498</v>
      </c>
      <c r="J58" s="2"/>
      <c r="K58" s="2">
        <v>507328</v>
      </c>
      <c r="L58" s="2"/>
      <c r="M58" s="2">
        <v>81308</v>
      </c>
      <c r="N58" s="2"/>
      <c r="O58" s="2">
        <v>0</v>
      </c>
      <c r="P58" s="2"/>
      <c r="Q58" s="2">
        <v>0</v>
      </c>
      <c r="R58" s="2"/>
      <c r="S58" s="2">
        <v>0</v>
      </c>
      <c r="T58" s="2"/>
      <c r="U58" s="2">
        <f>103176+270401</f>
        <v>373577</v>
      </c>
      <c r="V58" s="2"/>
      <c r="W58" s="30">
        <f t="shared" si="1"/>
        <v>14169547</v>
      </c>
      <c r="X58" s="2"/>
      <c r="Y58" s="2">
        <v>0</v>
      </c>
      <c r="Z58" s="2"/>
      <c r="AA58" s="2">
        <v>0</v>
      </c>
      <c r="AB58" s="2"/>
      <c r="AC58" s="13" t="s">
        <v>343</v>
      </c>
      <c r="AD58" s="19"/>
      <c r="AE58" s="19" t="s">
        <v>240</v>
      </c>
      <c r="AF58" s="2"/>
      <c r="AG58" s="2">
        <v>0</v>
      </c>
      <c r="AH58" s="2"/>
      <c r="AI58" s="2">
        <v>0</v>
      </c>
      <c r="AJ58" s="2"/>
      <c r="AK58" s="2">
        <v>0</v>
      </c>
      <c r="AL58" s="2"/>
      <c r="AM58" s="2">
        <v>0</v>
      </c>
      <c r="AN58" s="2"/>
      <c r="AO58" s="2">
        <v>0</v>
      </c>
      <c r="AP58" s="2"/>
      <c r="AQ58" s="2">
        <v>0</v>
      </c>
      <c r="AR58" s="2"/>
      <c r="AS58" s="2">
        <v>0</v>
      </c>
      <c r="AT58" s="2"/>
      <c r="AU58" s="2">
        <f t="shared" si="2"/>
        <v>0</v>
      </c>
      <c r="AV58" s="2"/>
      <c r="AW58" s="2">
        <f t="shared" si="3"/>
        <v>14169547</v>
      </c>
    </row>
    <row r="59" spans="1:51" s="96" customFormat="1">
      <c r="A59" s="13" t="s">
        <v>344</v>
      </c>
      <c r="B59" s="19"/>
      <c r="C59" s="19" t="s">
        <v>256</v>
      </c>
      <c r="E59" s="19">
        <v>51672</v>
      </c>
      <c r="G59" s="2">
        <v>2384258</v>
      </c>
      <c r="H59" s="2"/>
      <c r="I59" s="2">
        <f>30552+4188910</f>
        <v>4219462</v>
      </c>
      <c r="J59" s="2"/>
      <c r="K59" s="2">
        <v>206303</v>
      </c>
      <c r="L59" s="2"/>
      <c r="M59" s="2">
        <v>471706</v>
      </c>
      <c r="N59" s="2"/>
      <c r="O59" s="2">
        <v>0</v>
      </c>
      <c r="P59" s="2"/>
      <c r="Q59" s="2">
        <v>0</v>
      </c>
      <c r="R59" s="2"/>
      <c r="S59" s="2">
        <v>0</v>
      </c>
      <c r="T59" s="2"/>
      <c r="U59" s="2">
        <f>55889+21121</f>
        <v>77010</v>
      </c>
      <c r="V59" s="2"/>
      <c r="W59" s="30">
        <f t="shared" si="1"/>
        <v>7358739</v>
      </c>
      <c r="X59" s="2"/>
      <c r="Y59" s="2">
        <v>0</v>
      </c>
      <c r="Z59" s="2"/>
      <c r="AA59" s="2">
        <v>0</v>
      </c>
      <c r="AB59" s="2"/>
      <c r="AC59" s="13" t="s">
        <v>344</v>
      </c>
      <c r="AD59" s="19"/>
      <c r="AE59" s="19" t="s">
        <v>256</v>
      </c>
      <c r="AF59" s="2"/>
      <c r="AG59" s="2">
        <v>0</v>
      </c>
      <c r="AH59" s="2"/>
      <c r="AI59" s="2">
        <v>0</v>
      </c>
      <c r="AJ59" s="2"/>
      <c r="AK59" s="2">
        <v>0</v>
      </c>
      <c r="AL59" s="2"/>
      <c r="AM59" s="2">
        <v>0</v>
      </c>
      <c r="AN59" s="2"/>
      <c r="AO59" s="2">
        <v>0</v>
      </c>
      <c r="AP59" s="2"/>
      <c r="AQ59" s="2">
        <v>0</v>
      </c>
      <c r="AR59" s="2"/>
      <c r="AS59" s="2">
        <v>0</v>
      </c>
      <c r="AT59" s="2"/>
      <c r="AU59" s="2">
        <f t="shared" si="2"/>
        <v>0</v>
      </c>
      <c r="AV59" s="2"/>
      <c r="AW59" s="2">
        <f t="shared" si="3"/>
        <v>7358739</v>
      </c>
    </row>
    <row r="60" spans="1:51" s="96" customFormat="1">
      <c r="A60" s="13" t="s">
        <v>291</v>
      </c>
      <c r="B60" s="19"/>
      <c r="C60" s="19" t="s">
        <v>258</v>
      </c>
      <c r="E60" s="19">
        <v>51474</v>
      </c>
      <c r="G60" s="2">
        <v>7839378</v>
      </c>
      <c r="H60" s="2"/>
      <c r="I60" s="2">
        <v>5987192</v>
      </c>
      <c r="J60" s="2"/>
      <c r="K60" s="2">
        <v>379715</v>
      </c>
      <c r="L60" s="2"/>
      <c r="M60" s="2">
        <v>151684</v>
      </c>
      <c r="N60" s="2"/>
      <c r="O60" s="2">
        <v>0</v>
      </c>
      <c r="P60" s="2"/>
      <c r="Q60" s="2">
        <v>219464</v>
      </c>
      <c r="R60" s="2"/>
      <c r="S60" s="2">
        <v>5000</v>
      </c>
      <c r="T60" s="2"/>
      <c r="U60" s="2">
        <f>8807+1131</f>
        <v>9938</v>
      </c>
      <c r="V60" s="2"/>
      <c r="W60" s="30">
        <f t="shared" si="1"/>
        <v>14592371</v>
      </c>
      <c r="X60" s="2"/>
      <c r="Y60" s="2">
        <v>0</v>
      </c>
      <c r="Z60" s="2"/>
      <c r="AA60" s="2">
        <v>0</v>
      </c>
      <c r="AB60" s="2"/>
      <c r="AC60" s="13" t="s">
        <v>291</v>
      </c>
      <c r="AD60" s="19"/>
      <c r="AE60" s="19" t="s">
        <v>258</v>
      </c>
      <c r="AF60" s="2"/>
      <c r="AG60" s="2">
        <v>0</v>
      </c>
      <c r="AH60" s="2"/>
      <c r="AI60" s="2">
        <v>0</v>
      </c>
      <c r="AJ60" s="2"/>
      <c r="AK60" s="2">
        <v>0</v>
      </c>
      <c r="AL60" s="2"/>
      <c r="AM60" s="2">
        <v>3851</v>
      </c>
      <c r="AN60" s="2"/>
      <c r="AO60" s="2">
        <v>0</v>
      </c>
      <c r="AP60" s="2"/>
      <c r="AQ60" s="2">
        <v>0</v>
      </c>
      <c r="AR60" s="2"/>
      <c r="AS60" s="2">
        <v>0</v>
      </c>
      <c r="AT60" s="2"/>
      <c r="AU60" s="2">
        <f t="shared" si="2"/>
        <v>3851</v>
      </c>
      <c r="AV60" s="2"/>
      <c r="AW60" s="2">
        <f t="shared" si="3"/>
        <v>14596222</v>
      </c>
    </row>
    <row r="61" spans="1:51" s="96" customFormat="1">
      <c r="A61" s="13" t="s">
        <v>372</v>
      </c>
      <c r="B61" s="19"/>
      <c r="C61" s="19" t="s">
        <v>260</v>
      </c>
      <c r="E61" s="19">
        <v>51698</v>
      </c>
      <c r="G61" s="2">
        <v>1984728</v>
      </c>
      <c r="H61" s="2"/>
      <c r="I61" s="2">
        <v>3519274</v>
      </c>
      <c r="J61" s="2"/>
      <c r="K61" s="2">
        <v>137698</v>
      </c>
      <c r="L61" s="2"/>
      <c r="M61" s="2">
        <v>5062</v>
      </c>
      <c r="N61" s="2"/>
      <c r="O61" s="2">
        <v>0</v>
      </c>
      <c r="P61" s="2"/>
      <c r="Q61" s="2">
        <v>43669</v>
      </c>
      <c r="R61" s="2"/>
      <c r="S61" s="2">
        <v>0</v>
      </c>
      <c r="T61" s="2"/>
      <c r="U61" s="2">
        <f>50434+45248</f>
        <v>95682</v>
      </c>
      <c r="V61" s="2"/>
      <c r="W61" s="30">
        <f t="shared" si="1"/>
        <v>5786113</v>
      </c>
      <c r="X61" s="2"/>
      <c r="Y61" s="2">
        <v>0</v>
      </c>
      <c r="Z61" s="2"/>
      <c r="AA61" s="2">
        <v>0</v>
      </c>
      <c r="AB61" s="2"/>
      <c r="AC61" s="13" t="s">
        <v>372</v>
      </c>
      <c r="AD61" s="19"/>
      <c r="AE61" s="19" t="s">
        <v>260</v>
      </c>
      <c r="AF61" s="2"/>
      <c r="AG61" s="2">
        <v>0</v>
      </c>
      <c r="AH61" s="2"/>
      <c r="AI61" s="2">
        <v>0</v>
      </c>
      <c r="AJ61" s="2"/>
      <c r="AK61" s="2">
        <v>0</v>
      </c>
      <c r="AL61" s="2"/>
      <c r="AM61" s="2">
        <v>6348</v>
      </c>
      <c r="AN61" s="2"/>
      <c r="AO61" s="2">
        <v>0</v>
      </c>
      <c r="AP61" s="2"/>
      <c r="AQ61" s="2">
        <v>0</v>
      </c>
      <c r="AR61" s="2"/>
      <c r="AS61" s="2">
        <v>0</v>
      </c>
      <c r="AT61" s="2"/>
      <c r="AU61" s="2">
        <f t="shared" si="2"/>
        <v>6348</v>
      </c>
      <c r="AV61" s="2"/>
      <c r="AW61" s="2">
        <f t="shared" si="3"/>
        <v>5792461</v>
      </c>
    </row>
    <row r="62" spans="1:51" s="96" customFormat="1">
      <c r="A62" s="2" t="s">
        <v>345</v>
      </c>
      <c r="B62" s="19"/>
      <c r="C62" s="19" t="s">
        <v>262</v>
      </c>
      <c r="E62" s="19">
        <v>51714</v>
      </c>
      <c r="G62" s="2">
        <v>4061452</v>
      </c>
      <c r="H62" s="2"/>
      <c r="I62" s="2">
        <v>7099701</v>
      </c>
      <c r="J62" s="2"/>
      <c r="K62" s="2">
        <v>63935</v>
      </c>
      <c r="L62" s="2"/>
      <c r="M62" s="2">
        <v>0</v>
      </c>
      <c r="N62" s="2"/>
      <c r="O62" s="2"/>
      <c r="P62" s="2"/>
      <c r="Q62" s="2"/>
      <c r="R62" s="2"/>
      <c r="S62" s="2"/>
      <c r="T62" s="2"/>
      <c r="U62" s="2">
        <f>104969+2864</f>
        <v>107833</v>
      </c>
      <c r="V62" s="2"/>
      <c r="W62" s="30">
        <f t="shared" si="1"/>
        <v>11332921</v>
      </c>
      <c r="X62" s="2"/>
      <c r="Y62" s="2">
        <v>0</v>
      </c>
      <c r="Z62" s="2"/>
      <c r="AA62" s="2">
        <v>0</v>
      </c>
      <c r="AB62" s="2"/>
      <c r="AC62" s="2" t="s">
        <v>345</v>
      </c>
      <c r="AD62" s="19"/>
      <c r="AE62" s="19" t="s">
        <v>262</v>
      </c>
      <c r="AF62" s="2"/>
      <c r="AG62" s="2">
        <v>0</v>
      </c>
      <c r="AH62" s="2"/>
      <c r="AI62" s="2">
        <v>0</v>
      </c>
      <c r="AJ62" s="2"/>
      <c r="AK62" s="2">
        <v>0</v>
      </c>
      <c r="AL62" s="2"/>
      <c r="AM62" s="2">
        <v>0</v>
      </c>
      <c r="AN62" s="2"/>
      <c r="AO62" s="2">
        <v>0</v>
      </c>
      <c r="AP62" s="2"/>
      <c r="AQ62" s="2">
        <v>0</v>
      </c>
      <c r="AR62" s="2"/>
      <c r="AS62" s="2">
        <v>0</v>
      </c>
      <c r="AT62" s="2"/>
      <c r="AU62" s="2">
        <f t="shared" si="2"/>
        <v>0</v>
      </c>
      <c r="AV62" s="2"/>
      <c r="AW62" s="2">
        <f t="shared" si="3"/>
        <v>11332921</v>
      </c>
    </row>
    <row r="63" spans="1:51">
      <c r="A63" s="2"/>
      <c r="B63" s="19"/>
      <c r="C63" s="19"/>
      <c r="E63" s="1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0"/>
      <c r="X63" s="2"/>
      <c r="Y63" s="2"/>
      <c r="Z63" s="2"/>
      <c r="AA63" s="2"/>
      <c r="AB63" s="2"/>
      <c r="AC63" s="2"/>
      <c r="AD63" s="19"/>
      <c r="AE63" s="19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51">
      <c r="A64" s="121"/>
      <c r="B64" s="121"/>
      <c r="C64" s="121"/>
      <c r="D64" s="121"/>
      <c r="E64" s="121"/>
      <c r="F64" s="121"/>
      <c r="G64" s="121"/>
      <c r="H64" s="121"/>
      <c r="AA64" s="57" t="s">
        <v>348</v>
      </c>
      <c r="AU64" s="2"/>
      <c r="AW64" s="57" t="s">
        <v>348</v>
      </c>
    </row>
    <row r="65" spans="1:51">
      <c r="A65" s="13"/>
      <c r="B65" s="19"/>
      <c r="C65" s="13"/>
      <c r="E65" s="19"/>
      <c r="AC65" s="13"/>
      <c r="AD65" s="19"/>
      <c r="AE65" s="13"/>
      <c r="AU65" s="2"/>
    </row>
    <row r="66" spans="1:51">
      <c r="A66" s="56" t="s">
        <v>347</v>
      </c>
      <c r="B66" s="19"/>
      <c r="C66" s="19"/>
      <c r="E66" s="19"/>
      <c r="AC66" s="56" t="s">
        <v>347</v>
      </c>
      <c r="AD66" s="19"/>
      <c r="AE66" s="19"/>
      <c r="AU66" s="2"/>
    </row>
    <row r="67" spans="1:51" s="65" customFormat="1" hidden="1">
      <c r="A67" s="13" t="s">
        <v>415</v>
      </c>
      <c r="B67" s="13"/>
      <c r="C67" s="13" t="s">
        <v>365</v>
      </c>
      <c r="E67" s="60">
        <v>45849</v>
      </c>
      <c r="G67" s="81">
        <v>0</v>
      </c>
      <c r="H67" s="81"/>
      <c r="I67" s="81">
        <v>1257913</v>
      </c>
      <c r="J67" s="81"/>
      <c r="K67" s="81">
        <v>6159</v>
      </c>
      <c r="L67" s="81"/>
      <c r="M67" s="81">
        <v>16747</v>
      </c>
      <c r="N67" s="81"/>
      <c r="O67" s="81">
        <v>1354</v>
      </c>
      <c r="P67" s="81"/>
      <c r="Q67" s="81">
        <v>0</v>
      </c>
      <c r="R67" s="81"/>
      <c r="S67" s="81">
        <v>0</v>
      </c>
      <c r="T67" s="81"/>
      <c r="U67" s="81">
        <f>5366754+64498</f>
        <v>5431252</v>
      </c>
      <c r="V67" s="81"/>
      <c r="W67" s="59">
        <f>SUM(G67:V67)</f>
        <v>6713425</v>
      </c>
      <c r="X67" s="81"/>
      <c r="Y67" s="81">
        <v>0</v>
      </c>
      <c r="Z67" s="81"/>
      <c r="AA67" s="81">
        <v>0</v>
      </c>
      <c r="AB67" s="81"/>
      <c r="AC67" s="13" t="s">
        <v>364</v>
      </c>
      <c r="AD67" s="13"/>
      <c r="AE67" s="13" t="s">
        <v>365</v>
      </c>
      <c r="AF67" s="81"/>
      <c r="AG67" s="81">
        <v>0</v>
      </c>
      <c r="AH67" s="81"/>
      <c r="AI67" s="81">
        <v>0</v>
      </c>
      <c r="AJ67" s="81"/>
      <c r="AK67" s="81">
        <v>0</v>
      </c>
      <c r="AL67" s="81"/>
      <c r="AM67" s="81">
        <v>0</v>
      </c>
      <c r="AN67" s="81"/>
      <c r="AO67" s="81">
        <v>0</v>
      </c>
      <c r="AP67" s="81"/>
      <c r="AQ67" s="81">
        <v>0</v>
      </c>
      <c r="AR67" s="81"/>
      <c r="AS67" s="81">
        <v>0</v>
      </c>
      <c r="AT67" s="81"/>
      <c r="AU67" s="81">
        <f>SUM(Y67:AS67)</f>
        <v>0</v>
      </c>
      <c r="AV67" s="81"/>
      <c r="AW67" s="81">
        <f t="shared" ref="AW67:AW98" si="4">+AU67+W67</f>
        <v>6713425</v>
      </c>
      <c r="AY67" s="60" t="s">
        <v>400</v>
      </c>
    </row>
    <row r="68" spans="1:51" s="65" customFormat="1" hidden="1">
      <c r="A68" s="13" t="s">
        <v>416</v>
      </c>
      <c r="B68" s="13"/>
      <c r="C68" s="13" t="s">
        <v>156</v>
      </c>
      <c r="E68" s="60"/>
      <c r="G68" s="13">
        <v>0</v>
      </c>
      <c r="H68" s="13"/>
      <c r="I68" s="13">
        <v>3784158</v>
      </c>
      <c r="J68" s="13"/>
      <c r="K68" s="13">
        <v>39947</v>
      </c>
      <c r="L68" s="13"/>
      <c r="M68" s="13">
        <v>589245</v>
      </c>
      <c r="N68" s="13"/>
      <c r="O68" s="13">
        <v>0</v>
      </c>
      <c r="P68" s="13"/>
      <c r="Q68" s="13">
        <v>0</v>
      </c>
      <c r="R68" s="13"/>
      <c r="S68" s="13">
        <v>950</v>
      </c>
      <c r="T68" s="13"/>
      <c r="U68" s="13">
        <f>999051+87036</f>
        <v>1086087</v>
      </c>
      <c r="V68" s="13"/>
      <c r="W68" s="30">
        <f>SUM(G68:V68)</f>
        <v>5500387</v>
      </c>
      <c r="X68" s="13"/>
      <c r="Y68" s="13">
        <v>0</v>
      </c>
      <c r="Z68" s="13"/>
      <c r="AA68" s="13">
        <v>0</v>
      </c>
      <c r="AB68" s="13"/>
      <c r="AC68" s="13" t="s">
        <v>367</v>
      </c>
      <c r="AD68" s="13"/>
      <c r="AE68" s="13" t="s">
        <v>156</v>
      </c>
      <c r="AF68" s="13"/>
      <c r="AG68" s="13">
        <v>0</v>
      </c>
      <c r="AH68" s="13"/>
      <c r="AI68" s="13">
        <v>0</v>
      </c>
      <c r="AJ68" s="13"/>
      <c r="AK68" s="13">
        <v>0</v>
      </c>
      <c r="AL68" s="13"/>
      <c r="AM68" s="13">
        <v>0</v>
      </c>
      <c r="AN68" s="13"/>
      <c r="AO68" s="13">
        <v>0</v>
      </c>
      <c r="AP68" s="13"/>
      <c r="AQ68" s="13">
        <v>0</v>
      </c>
      <c r="AR68" s="13"/>
      <c r="AS68" s="13">
        <v>0</v>
      </c>
      <c r="AT68" s="13"/>
      <c r="AU68" s="13">
        <f>SUM(Y68:AS68)</f>
        <v>0</v>
      </c>
      <c r="AV68" s="13"/>
      <c r="AW68" s="13">
        <f t="shared" si="4"/>
        <v>5500387</v>
      </c>
      <c r="AY68" s="60" t="s">
        <v>400</v>
      </c>
    </row>
    <row r="69" spans="1:51" s="65" customFormat="1">
      <c r="A69" s="60" t="s">
        <v>161</v>
      </c>
      <c r="B69" s="60"/>
      <c r="C69" s="60" t="s">
        <v>157</v>
      </c>
      <c r="E69" s="60">
        <v>135145</v>
      </c>
      <c r="G69" s="81">
        <v>0</v>
      </c>
      <c r="H69" s="81"/>
      <c r="I69" s="81">
        <v>812397</v>
      </c>
      <c r="J69" s="81"/>
      <c r="K69" s="81">
        <v>27590</v>
      </c>
      <c r="L69" s="81"/>
      <c r="M69" s="81">
        <v>1434832</v>
      </c>
      <c r="N69" s="81"/>
      <c r="O69" s="81">
        <v>0</v>
      </c>
      <c r="P69" s="81"/>
      <c r="Q69" s="81">
        <v>0</v>
      </c>
      <c r="R69" s="81"/>
      <c r="S69" s="81">
        <v>3</v>
      </c>
      <c r="T69" s="81"/>
      <c r="U69" s="81">
        <f>75883+809742+1233977</f>
        <v>2119602</v>
      </c>
      <c r="V69" s="81"/>
      <c r="W69" s="59">
        <f>SUM(G69:V69)</f>
        <v>4394424</v>
      </c>
      <c r="X69" s="81"/>
      <c r="Y69" s="81">
        <v>0</v>
      </c>
      <c r="Z69" s="81"/>
      <c r="AA69" s="81">
        <v>0</v>
      </c>
      <c r="AB69" s="81"/>
      <c r="AC69" s="60" t="s">
        <v>161</v>
      </c>
      <c r="AD69" s="60"/>
      <c r="AE69" s="60" t="s">
        <v>157</v>
      </c>
      <c r="AF69" s="81"/>
      <c r="AG69" s="81">
        <v>0</v>
      </c>
      <c r="AH69" s="81"/>
      <c r="AI69" s="81">
        <v>0</v>
      </c>
      <c r="AJ69" s="81"/>
      <c r="AK69" s="81">
        <v>0</v>
      </c>
      <c r="AL69" s="81"/>
      <c r="AM69" s="81">
        <v>0</v>
      </c>
      <c r="AN69" s="81"/>
      <c r="AO69" s="81">
        <v>0</v>
      </c>
      <c r="AP69" s="81"/>
      <c r="AQ69" s="81">
        <v>0</v>
      </c>
      <c r="AR69" s="81"/>
      <c r="AS69" s="81">
        <v>0</v>
      </c>
      <c r="AT69" s="81"/>
      <c r="AU69" s="81">
        <f>SUM(Y69:AS69)</f>
        <v>0</v>
      </c>
      <c r="AV69" s="81"/>
      <c r="AW69" s="81">
        <f t="shared" si="4"/>
        <v>4394424</v>
      </c>
      <c r="AY69" s="13"/>
    </row>
    <row r="70" spans="1:51" s="65" customFormat="1" hidden="1">
      <c r="A70" s="13" t="s">
        <v>417</v>
      </c>
      <c r="B70" s="13"/>
      <c r="C70" s="13" t="s">
        <v>369</v>
      </c>
      <c r="E70" s="60"/>
      <c r="G70" s="13"/>
      <c r="H70" s="13"/>
      <c r="I70" s="13">
        <v>1015472</v>
      </c>
      <c r="J70" s="13"/>
      <c r="K70" s="13">
        <v>27753</v>
      </c>
      <c r="L70" s="13"/>
      <c r="M70" s="13">
        <v>576448</v>
      </c>
      <c r="N70" s="13"/>
      <c r="O70" s="13"/>
      <c r="P70" s="13"/>
      <c r="Q70" s="13"/>
      <c r="R70" s="13"/>
      <c r="S70" s="13"/>
      <c r="T70" s="13"/>
      <c r="U70" s="13">
        <f>5015580+119069</f>
        <v>5134649</v>
      </c>
      <c r="V70" s="13"/>
      <c r="W70" s="30">
        <f>SUM(G70:V70)</f>
        <v>6754322</v>
      </c>
      <c r="X70" s="13"/>
      <c r="Y70" s="13">
        <v>0</v>
      </c>
      <c r="Z70" s="13"/>
      <c r="AA70" s="13">
        <v>0</v>
      </c>
      <c r="AB70" s="13"/>
      <c r="AC70" s="13" t="s">
        <v>368</v>
      </c>
      <c r="AD70" s="13"/>
      <c r="AE70" s="13" t="s">
        <v>369</v>
      </c>
      <c r="AF70" s="13"/>
      <c r="AG70" s="13">
        <v>0</v>
      </c>
      <c r="AH70" s="13"/>
      <c r="AI70" s="13">
        <v>0</v>
      </c>
      <c r="AJ70" s="13"/>
      <c r="AK70" s="13">
        <v>0</v>
      </c>
      <c r="AL70" s="13"/>
      <c r="AM70" s="13">
        <v>0</v>
      </c>
      <c r="AN70" s="13"/>
      <c r="AO70" s="13">
        <v>0</v>
      </c>
      <c r="AP70" s="13"/>
      <c r="AQ70" s="13">
        <v>0</v>
      </c>
      <c r="AR70" s="13"/>
      <c r="AS70" s="13">
        <v>0</v>
      </c>
      <c r="AT70" s="13"/>
      <c r="AU70" s="13">
        <f>SUM(Y70:AS70)</f>
        <v>0</v>
      </c>
      <c r="AV70" s="13"/>
      <c r="AW70" s="13">
        <f t="shared" si="4"/>
        <v>6754322</v>
      </c>
      <c r="AY70" s="60" t="s">
        <v>400</v>
      </c>
    </row>
    <row r="71" spans="1:51">
      <c r="A71" s="19" t="s">
        <v>163</v>
      </c>
      <c r="B71" s="19"/>
      <c r="C71" s="19" t="s">
        <v>164</v>
      </c>
      <c r="E71" s="19">
        <v>46029</v>
      </c>
      <c r="G71" s="2">
        <v>0</v>
      </c>
      <c r="H71" s="2"/>
      <c r="I71" s="2">
        <v>724416</v>
      </c>
      <c r="J71" s="2"/>
      <c r="K71" s="2">
        <v>50301</v>
      </c>
      <c r="L71" s="2"/>
      <c r="M71" s="2">
        <v>88589</v>
      </c>
      <c r="N71" s="2"/>
      <c r="O71" s="2">
        <v>0</v>
      </c>
      <c r="P71" s="2"/>
      <c r="Q71" s="2">
        <v>0</v>
      </c>
      <c r="R71" s="2"/>
      <c r="S71" s="2">
        <v>1750</v>
      </c>
      <c r="T71" s="2"/>
      <c r="U71" s="2">
        <v>3441405</v>
      </c>
      <c r="V71" s="2"/>
      <c r="W71" s="30">
        <f>SUM(G71:V71)</f>
        <v>4306461</v>
      </c>
      <c r="X71" s="2"/>
      <c r="Y71" s="2">
        <v>0</v>
      </c>
      <c r="Z71" s="2"/>
      <c r="AA71" s="2">
        <v>0</v>
      </c>
      <c r="AB71" s="2"/>
      <c r="AC71" s="19" t="s">
        <v>163</v>
      </c>
      <c r="AD71" s="19"/>
      <c r="AE71" s="19" t="s">
        <v>164</v>
      </c>
      <c r="AF71" s="2"/>
      <c r="AG71" s="2">
        <v>0</v>
      </c>
      <c r="AH71" s="2"/>
      <c r="AI71" s="2">
        <v>0</v>
      </c>
      <c r="AJ71" s="2"/>
      <c r="AK71" s="2">
        <v>0</v>
      </c>
      <c r="AL71" s="2"/>
      <c r="AM71" s="2">
        <v>0</v>
      </c>
      <c r="AN71" s="2"/>
      <c r="AO71" s="2">
        <v>0</v>
      </c>
      <c r="AP71" s="2"/>
      <c r="AQ71" s="2">
        <v>0</v>
      </c>
      <c r="AR71" s="2"/>
      <c r="AS71" s="2">
        <v>0</v>
      </c>
      <c r="AT71" s="2"/>
      <c r="AU71" s="2">
        <f>SUM(Y71:AS71)</f>
        <v>0</v>
      </c>
      <c r="AV71" s="2"/>
      <c r="AW71" s="2">
        <f t="shared" si="4"/>
        <v>4306461</v>
      </c>
    </row>
    <row r="72" spans="1:51">
      <c r="A72" s="19" t="s">
        <v>165</v>
      </c>
      <c r="B72" s="19"/>
      <c r="C72" s="19" t="s">
        <v>159</v>
      </c>
      <c r="E72" s="19">
        <v>46086</v>
      </c>
      <c r="G72" s="2">
        <v>0</v>
      </c>
      <c r="H72" s="2"/>
      <c r="I72" s="2">
        <v>1977343</v>
      </c>
      <c r="J72" s="2"/>
      <c r="K72" s="2">
        <v>12453</v>
      </c>
      <c r="L72" s="2"/>
      <c r="M72" s="2">
        <v>0</v>
      </c>
      <c r="N72" s="2"/>
      <c r="O72" s="2">
        <v>0</v>
      </c>
      <c r="P72" s="2"/>
      <c r="Q72" s="2">
        <v>0</v>
      </c>
      <c r="R72" s="2"/>
      <c r="S72" s="2">
        <v>0</v>
      </c>
      <c r="T72" s="2"/>
      <c r="U72" s="2">
        <v>5092189</v>
      </c>
      <c r="V72" s="2"/>
      <c r="W72" s="30">
        <f t="shared" ref="W72:W127" si="5">SUM(G72:V72)</f>
        <v>7081985</v>
      </c>
      <c r="X72" s="2"/>
      <c r="Y72" s="2">
        <v>0</v>
      </c>
      <c r="Z72" s="2"/>
      <c r="AA72" s="2">
        <v>0</v>
      </c>
      <c r="AB72" s="2"/>
      <c r="AC72" s="19" t="s">
        <v>165</v>
      </c>
      <c r="AD72" s="19"/>
      <c r="AE72" s="19" t="s">
        <v>159</v>
      </c>
      <c r="AF72" s="2"/>
      <c r="AG72" s="2">
        <v>0</v>
      </c>
      <c r="AH72" s="2"/>
      <c r="AI72" s="2">
        <v>0</v>
      </c>
      <c r="AJ72" s="2"/>
      <c r="AK72" s="2">
        <v>0</v>
      </c>
      <c r="AL72" s="2"/>
      <c r="AM72" s="2">
        <v>0</v>
      </c>
      <c r="AN72" s="2"/>
      <c r="AO72" s="2">
        <v>0</v>
      </c>
      <c r="AP72" s="2"/>
      <c r="AQ72" s="2">
        <v>0</v>
      </c>
      <c r="AR72" s="2"/>
      <c r="AS72" s="2">
        <v>0</v>
      </c>
      <c r="AT72" s="2"/>
      <c r="AU72" s="2">
        <f t="shared" ref="AU72:AU127" si="6">SUM(Y72:AS72)</f>
        <v>0</v>
      </c>
      <c r="AV72" s="2"/>
      <c r="AW72" s="2">
        <f t="shared" si="4"/>
        <v>7081985</v>
      </c>
    </row>
    <row r="73" spans="1:51">
      <c r="A73" s="19" t="s">
        <v>168</v>
      </c>
      <c r="B73" s="19"/>
      <c r="C73" s="19" t="s">
        <v>169</v>
      </c>
      <c r="E73" s="19">
        <v>46227</v>
      </c>
      <c r="G73" s="2">
        <v>0</v>
      </c>
      <c r="H73" s="2"/>
      <c r="I73" s="2">
        <v>1620381</v>
      </c>
      <c r="J73" s="2"/>
      <c r="K73" s="2">
        <v>35815</v>
      </c>
      <c r="L73" s="2"/>
      <c r="M73" s="2">
        <v>3607519</v>
      </c>
      <c r="N73" s="2"/>
      <c r="O73" s="2">
        <v>0</v>
      </c>
      <c r="P73" s="2"/>
      <c r="Q73" s="2">
        <v>0</v>
      </c>
      <c r="R73" s="2"/>
      <c r="S73" s="2">
        <v>0</v>
      </c>
      <c r="T73" s="2"/>
      <c r="U73" s="2">
        <v>525803</v>
      </c>
      <c r="V73" s="2"/>
      <c r="W73" s="30">
        <f t="shared" si="5"/>
        <v>5789518</v>
      </c>
      <c r="X73" s="2"/>
      <c r="Y73" s="2">
        <v>0</v>
      </c>
      <c r="Z73" s="2"/>
      <c r="AA73" s="2">
        <v>0</v>
      </c>
      <c r="AB73" s="2"/>
      <c r="AC73" s="19" t="s">
        <v>168</v>
      </c>
      <c r="AD73" s="19"/>
      <c r="AE73" s="19" t="s">
        <v>169</v>
      </c>
      <c r="AF73" s="2"/>
      <c r="AG73" s="2">
        <v>0</v>
      </c>
      <c r="AH73" s="2"/>
      <c r="AI73" s="2">
        <v>0</v>
      </c>
      <c r="AJ73" s="2"/>
      <c r="AK73" s="2">
        <v>0</v>
      </c>
      <c r="AL73" s="2"/>
      <c r="AM73" s="2">
        <v>0</v>
      </c>
      <c r="AN73" s="2"/>
      <c r="AO73" s="2">
        <v>0</v>
      </c>
      <c r="AP73" s="2"/>
      <c r="AQ73" s="2">
        <v>0</v>
      </c>
      <c r="AR73" s="2"/>
      <c r="AS73" s="2">
        <v>0</v>
      </c>
      <c r="AT73" s="2"/>
      <c r="AU73" s="2">
        <f t="shared" si="6"/>
        <v>0</v>
      </c>
      <c r="AV73" s="2"/>
      <c r="AW73" s="2">
        <f t="shared" si="4"/>
        <v>5789518</v>
      </c>
    </row>
    <row r="74" spans="1:51">
      <c r="A74" s="19" t="s">
        <v>170</v>
      </c>
      <c r="B74" s="19"/>
      <c r="C74" s="19" t="s">
        <v>171</v>
      </c>
      <c r="E74" s="19">
        <v>46292</v>
      </c>
      <c r="G74" s="2">
        <v>0</v>
      </c>
      <c r="H74" s="2"/>
      <c r="I74" s="2">
        <v>1728801</v>
      </c>
      <c r="J74" s="2"/>
      <c r="K74" s="2">
        <v>61172</v>
      </c>
      <c r="L74" s="2"/>
      <c r="M74" s="2">
        <v>14767228</v>
      </c>
      <c r="N74" s="2"/>
      <c r="O74" s="2">
        <v>0</v>
      </c>
      <c r="P74" s="2"/>
      <c r="Q74" s="2">
        <v>0</v>
      </c>
      <c r="R74" s="2"/>
      <c r="S74" s="2">
        <v>145926</v>
      </c>
      <c r="T74" s="2"/>
      <c r="U74" s="2">
        <v>871487</v>
      </c>
      <c r="V74" s="2"/>
      <c r="W74" s="30">
        <f t="shared" si="5"/>
        <v>17574614</v>
      </c>
      <c r="X74" s="2"/>
      <c r="Y74" s="2">
        <v>0</v>
      </c>
      <c r="Z74" s="2"/>
      <c r="AA74" s="2">
        <v>0</v>
      </c>
      <c r="AB74" s="2"/>
      <c r="AC74" s="19" t="s">
        <v>170</v>
      </c>
      <c r="AD74" s="19"/>
      <c r="AE74" s="19" t="s">
        <v>171</v>
      </c>
      <c r="AF74" s="2"/>
      <c r="AG74" s="2">
        <v>0</v>
      </c>
      <c r="AH74" s="2"/>
      <c r="AI74" s="2">
        <v>0</v>
      </c>
      <c r="AJ74" s="2"/>
      <c r="AK74" s="2">
        <v>0</v>
      </c>
      <c r="AL74" s="2"/>
      <c r="AM74" s="2">
        <v>0</v>
      </c>
      <c r="AN74" s="2"/>
      <c r="AO74" s="2">
        <v>0</v>
      </c>
      <c r="AP74" s="2"/>
      <c r="AQ74" s="2">
        <v>0</v>
      </c>
      <c r="AR74" s="2"/>
      <c r="AS74" s="2">
        <v>0</v>
      </c>
      <c r="AT74" s="2"/>
      <c r="AU74" s="2">
        <f t="shared" si="6"/>
        <v>0</v>
      </c>
      <c r="AV74" s="2"/>
      <c r="AW74" s="2">
        <f t="shared" si="4"/>
        <v>17574614</v>
      </c>
    </row>
    <row r="75" spans="1:51" s="65" customFormat="1" hidden="1">
      <c r="A75" s="80" t="s">
        <v>405</v>
      </c>
      <c r="B75" s="60"/>
      <c r="C75" s="60" t="s">
        <v>173</v>
      </c>
      <c r="E75" s="60">
        <v>46375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30">
        <f t="shared" si="5"/>
        <v>0</v>
      </c>
      <c r="X75" s="13"/>
      <c r="Y75" s="13">
        <v>0</v>
      </c>
      <c r="Z75" s="13"/>
      <c r="AA75" s="13">
        <v>0</v>
      </c>
      <c r="AB75" s="13"/>
      <c r="AC75" s="60" t="s">
        <v>172</v>
      </c>
      <c r="AD75" s="60"/>
      <c r="AE75" s="60" t="s">
        <v>173</v>
      </c>
      <c r="AF75" s="13"/>
      <c r="AG75" s="13">
        <v>0</v>
      </c>
      <c r="AH75" s="13"/>
      <c r="AI75" s="13">
        <v>0</v>
      </c>
      <c r="AJ75" s="13"/>
      <c r="AK75" s="13">
        <v>0</v>
      </c>
      <c r="AL75" s="13"/>
      <c r="AM75" s="13">
        <v>0</v>
      </c>
      <c r="AN75" s="13"/>
      <c r="AO75" s="13">
        <v>0</v>
      </c>
      <c r="AP75" s="13"/>
      <c r="AQ75" s="13">
        <v>0</v>
      </c>
      <c r="AR75" s="13"/>
      <c r="AS75" s="13">
        <v>0</v>
      </c>
      <c r="AT75" s="13"/>
      <c r="AU75" s="13">
        <f t="shared" si="6"/>
        <v>0</v>
      </c>
      <c r="AV75" s="13"/>
      <c r="AW75" s="13">
        <f t="shared" si="4"/>
        <v>0</v>
      </c>
      <c r="AY75" s="80" t="s">
        <v>406</v>
      </c>
    </row>
    <row r="76" spans="1:51">
      <c r="A76" s="19" t="s">
        <v>174</v>
      </c>
      <c r="B76" s="19"/>
      <c r="C76" s="19" t="s">
        <v>175</v>
      </c>
      <c r="E76" s="19">
        <v>46417</v>
      </c>
      <c r="G76" s="2">
        <v>0</v>
      </c>
      <c r="H76" s="2"/>
      <c r="I76" s="2">
        <v>1281156</v>
      </c>
      <c r="J76" s="2"/>
      <c r="K76" s="2">
        <v>1415</v>
      </c>
      <c r="L76" s="2"/>
      <c r="M76" s="2">
        <v>5752896</v>
      </c>
      <c r="N76" s="2"/>
      <c r="O76" s="2">
        <v>0</v>
      </c>
      <c r="P76" s="2"/>
      <c r="Q76" s="2">
        <v>0</v>
      </c>
      <c r="R76" s="2"/>
      <c r="S76" s="2">
        <v>500</v>
      </c>
      <c r="T76" s="2"/>
      <c r="U76" s="2">
        <v>1404850</v>
      </c>
      <c r="V76" s="2"/>
      <c r="W76" s="30">
        <f t="shared" si="5"/>
        <v>8440817</v>
      </c>
      <c r="X76" s="2"/>
      <c r="Y76" s="2">
        <v>0</v>
      </c>
      <c r="Z76" s="2"/>
      <c r="AA76" s="2">
        <v>0</v>
      </c>
      <c r="AB76" s="2"/>
      <c r="AC76" s="19" t="s">
        <v>174</v>
      </c>
      <c r="AD76" s="19"/>
      <c r="AE76" s="19" t="s">
        <v>175</v>
      </c>
      <c r="AF76" s="2"/>
      <c r="AG76" s="2">
        <v>450000</v>
      </c>
      <c r="AH76" s="2"/>
      <c r="AI76" s="2">
        <v>0</v>
      </c>
      <c r="AJ76" s="2"/>
      <c r="AK76" s="2">
        <v>0</v>
      </c>
      <c r="AL76" s="2"/>
      <c r="AM76" s="2">
        <v>0</v>
      </c>
      <c r="AN76" s="2"/>
      <c r="AO76" s="2">
        <v>0</v>
      </c>
      <c r="AP76" s="2"/>
      <c r="AQ76" s="2">
        <v>0</v>
      </c>
      <c r="AR76" s="2"/>
      <c r="AS76" s="2">
        <v>0</v>
      </c>
      <c r="AT76" s="2"/>
      <c r="AU76" s="2">
        <f t="shared" si="6"/>
        <v>450000</v>
      </c>
      <c r="AV76" s="2"/>
      <c r="AW76" s="2">
        <f t="shared" si="4"/>
        <v>8890817</v>
      </c>
    </row>
    <row r="77" spans="1:51">
      <c r="A77" s="19" t="s">
        <v>176</v>
      </c>
      <c r="B77" s="19"/>
      <c r="C77" s="19" t="s">
        <v>177</v>
      </c>
      <c r="E77" s="19">
        <v>46532</v>
      </c>
      <c r="G77" s="2">
        <v>0</v>
      </c>
      <c r="H77" s="2"/>
      <c r="I77" s="2">
        <v>6311011</v>
      </c>
      <c r="J77" s="2"/>
      <c r="K77" s="2">
        <v>389229</v>
      </c>
      <c r="L77" s="2"/>
      <c r="M77" s="2">
        <v>32206035</v>
      </c>
      <c r="N77" s="2"/>
      <c r="O77" s="2">
        <v>1540</v>
      </c>
      <c r="P77" s="2"/>
      <c r="Q77" s="2">
        <v>0</v>
      </c>
      <c r="R77" s="2"/>
      <c r="S77" s="2">
        <v>3254</v>
      </c>
      <c r="T77" s="2"/>
      <c r="U77" s="2">
        <v>12680991</v>
      </c>
      <c r="V77" s="2"/>
      <c r="W77" s="30">
        <f t="shared" si="5"/>
        <v>51592060</v>
      </c>
      <c r="X77" s="2"/>
      <c r="Y77" s="2">
        <v>0</v>
      </c>
      <c r="Z77" s="2"/>
      <c r="AA77" s="2">
        <v>0</v>
      </c>
      <c r="AB77" s="2"/>
      <c r="AC77" s="19" t="s">
        <v>176</v>
      </c>
      <c r="AD77" s="19"/>
      <c r="AE77" s="19" t="s">
        <v>177</v>
      </c>
      <c r="AF77" s="2"/>
      <c r="AG77" s="2">
        <v>0</v>
      </c>
      <c r="AH77" s="2"/>
      <c r="AI77" s="2">
        <v>0</v>
      </c>
      <c r="AJ77" s="2"/>
      <c r="AK77" s="2">
        <v>0</v>
      </c>
      <c r="AL77" s="2"/>
      <c r="AM77" s="2">
        <v>0</v>
      </c>
      <c r="AN77" s="2"/>
      <c r="AO77" s="2">
        <v>0</v>
      </c>
      <c r="AP77" s="2"/>
      <c r="AQ77" s="2">
        <v>0</v>
      </c>
      <c r="AR77" s="2"/>
      <c r="AS77" s="2">
        <v>0</v>
      </c>
      <c r="AT77" s="2"/>
      <c r="AU77" s="2">
        <f t="shared" si="6"/>
        <v>0</v>
      </c>
      <c r="AV77" s="2"/>
      <c r="AW77" s="2">
        <f t="shared" si="4"/>
        <v>51592060</v>
      </c>
    </row>
    <row r="78" spans="1:51" hidden="1">
      <c r="A78" s="19" t="s">
        <v>395</v>
      </c>
      <c r="B78" s="19"/>
      <c r="C78" s="19" t="s">
        <v>179</v>
      </c>
      <c r="E78" s="19">
        <v>46615</v>
      </c>
      <c r="G78" s="2"/>
      <c r="H78" s="2"/>
      <c r="I78" s="2">
        <v>696004</v>
      </c>
      <c r="J78" s="2"/>
      <c r="K78" s="2">
        <v>18565</v>
      </c>
      <c r="L78" s="2"/>
      <c r="M78" s="2"/>
      <c r="N78" s="2"/>
      <c r="O78" s="2"/>
      <c r="P78" s="2"/>
      <c r="Q78" s="2"/>
      <c r="R78" s="2"/>
      <c r="S78" s="2"/>
      <c r="T78" s="2"/>
      <c r="U78" s="2">
        <v>1501360</v>
      </c>
      <c r="V78" s="2"/>
      <c r="W78" s="30">
        <f t="shared" si="5"/>
        <v>2215929</v>
      </c>
      <c r="X78" s="2"/>
      <c r="Y78" s="2">
        <v>0</v>
      </c>
      <c r="Z78" s="2"/>
      <c r="AA78" s="2">
        <v>0</v>
      </c>
      <c r="AB78" s="2"/>
      <c r="AC78" s="19" t="s">
        <v>178</v>
      </c>
      <c r="AD78" s="19"/>
      <c r="AE78" s="19" t="s">
        <v>179</v>
      </c>
      <c r="AF78" s="2"/>
      <c r="AG78" s="2">
        <v>0</v>
      </c>
      <c r="AH78" s="2"/>
      <c r="AI78" s="2">
        <v>0</v>
      </c>
      <c r="AJ78" s="2"/>
      <c r="AK78" s="2">
        <v>0</v>
      </c>
      <c r="AL78" s="2"/>
      <c r="AM78" s="2">
        <v>0</v>
      </c>
      <c r="AN78" s="2"/>
      <c r="AO78" s="2">
        <v>0</v>
      </c>
      <c r="AP78" s="2"/>
      <c r="AQ78" s="2">
        <v>0</v>
      </c>
      <c r="AR78" s="2"/>
      <c r="AS78" s="2">
        <v>0</v>
      </c>
      <c r="AT78" s="2"/>
      <c r="AU78" s="2">
        <f t="shared" si="6"/>
        <v>0</v>
      </c>
      <c r="AV78" s="2"/>
      <c r="AW78" s="2">
        <f t="shared" si="4"/>
        <v>2215929</v>
      </c>
      <c r="AY78" s="63" t="s">
        <v>373</v>
      </c>
    </row>
    <row r="79" spans="1:51" s="65" customFormat="1" hidden="1">
      <c r="A79" s="80" t="s">
        <v>180</v>
      </c>
      <c r="B79" s="60"/>
      <c r="C79" s="60" t="s">
        <v>181</v>
      </c>
      <c r="E79" s="60">
        <v>46730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30">
        <f t="shared" si="5"/>
        <v>0</v>
      </c>
      <c r="X79" s="13"/>
      <c r="Y79" s="13">
        <v>0</v>
      </c>
      <c r="Z79" s="13"/>
      <c r="AA79" s="13">
        <v>0</v>
      </c>
      <c r="AB79" s="13"/>
      <c r="AC79" s="60" t="s">
        <v>180</v>
      </c>
      <c r="AD79" s="60"/>
      <c r="AE79" s="60" t="s">
        <v>181</v>
      </c>
      <c r="AF79" s="13"/>
      <c r="AG79" s="13">
        <v>0</v>
      </c>
      <c r="AH79" s="13"/>
      <c r="AI79" s="13">
        <v>0</v>
      </c>
      <c r="AJ79" s="13"/>
      <c r="AK79" s="13">
        <v>0</v>
      </c>
      <c r="AL79" s="13"/>
      <c r="AM79" s="13">
        <v>0</v>
      </c>
      <c r="AN79" s="13"/>
      <c r="AO79" s="13">
        <v>0</v>
      </c>
      <c r="AP79" s="13"/>
      <c r="AQ79" s="13">
        <v>0</v>
      </c>
      <c r="AR79" s="13"/>
      <c r="AS79" s="13">
        <v>0</v>
      </c>
      <c r="AT79" s="13"/>
      <c r="AU79" s="13">
        <f t="shared" si="6"/>
        <v>0</v>
      </c>
      <c r="AV79" s="13"/>
      <c r="AW79" s="13">
        <f t="shared" si="4"/>
        <v>0</v>
      </c>
      <c r="AY79" s="80" t="s">
        <v>410</v>
      </c>
    </row>
    <row r="80" spans="1:51" s="65" customFormat="1" hidden="1">
      <c r="A80" s="80" t="s">
        <v>412</v>
      </c>
      <c r="B80" s="60"/>
      <c r="C80" s="60" t="s">
        <v>183</v>
      </c>
      <c r="E80" s="60">
        <v>125690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30">
        <f t="shared" si="5"/>
        <v>0</v>
      </c>
      <c r="X80" s="13"/>
      <c r="Y80" s="13">
        <v>0</v>
      </c>
      <c r="Z80" s="13"/>
      <c r="AA80" s="13">
        <v>0</v>
      </c>
      <c r="AB80" s="13"/>
      <c r="AC80" s="60" t="s">
        <v>182</v>
      </c>
      <c r="AD80" s="60"/>
      <c r="AE80" s="60" t="s">
        <v>183</v>
      </c>
      <c r="AF80" s="13"/>
      <c r="AG80" s="13">
        <v>0</v>
      </c>
      <c r="AH80" s="13"/>
      <c r="AI80" s="13">
        <v>0</v>
      </c>
      <c r="AJ80" s="13"/>
      <c r="AK80" s="13">
        <v>0</v>
      </c>
      <c r="AL80" s="13"/>
      <c r="AM80" s="13">
        <v>0</v>
      </c>
      <c r="AN80" s="13"/>
      <c r="AO80" s="13">
        <v>0</v>
      </c>
      <c r="AP80" s="13"/>
      <c r="AQ80" s="13">
        <v>0</v>
      </c>
      <c r="AR80" s="13"/>
      <c r="AS80" s="13">
        <v>0</v>
      </c>
      <c r="AT80" s="13"/>
      <c r="AU80" s="13">
        <f t="shared" si="6"/>
        <v>0</v>
      </c>
      <c r="AV80" s="13"/>
      <c r="AW80" s="13">
        <f t="shared" si="4"/>
        <v>0</v>
      </c>
      <c r="AY80" s="80" t="s">
        <v>414</v>
      </c>
    </row>
    <row r="81" spans="1:51">
      <c r="A81" s="19" t="s">
        <v>184</v>
      </c>
      <c r="B81" s="19"/>
      <c r="C81" s="19" t="s">
        <v>185</v>
      </c>
      <c r="E81" s="19">
        <v>46839</v>
      </c>
      <c r="G81" s="2">
        <v>0</v>
      </c>
      <c r="H81" s="2"/>
      <c r="I81" s="2">
        <v>1275832</v>
      </c>
      <c r="J81" s="2"/>
      <c r="K81" s="2">
        <v>9888</v>
      </c>
      <c r="L81" s="2"/>
      <c r="M81" s="2">
        <v>0</v>
      </c>
      <c r="N81" s="2"/>
      <c r="O81" s="2">
        <v>0</v>
      </c>
      <c r="P81" s="2"/>
      <c r="Q81" s="2">
        <v>0</v>
      </c>
      <c r="R81" s="2"/>
      <c r="S81" s="2">
        <v>0</v>
      </c>
      <c r="T81" s="2"/>
      <c r="U81" s="2">
        <v>6759007</v>
      </c>
      <c r="V81" s="2"/>
      <c r="W81" s="30">
        <f t="shared" si="5"/>
        <v>8044727</v>
      </c>
      <c r="X81" s="2"/>
      <c r="Y81" s="2">
        <v>0</v>
      </c>
      <c r="Z81" s="2"/>
      <c r="AA81" s="2">
        <v>0</v>
      </c>
      <c r="AB81" s="2"/>
      <c r="AC81" s="19" t="s">
        <v>184</v>
      </c>
      <c r="AD81" s="19"/>
      <c r="AE81" s="19" t="s">
        <v>185</v>
      </c>
      <c r="AF81" s="2"/>
      <c r="AG81" s="2">
        <v>0</v>
      </c>
      <c r="AH81" s="2"/>
      <c r="AI81" s="2">
        <v>0</v>
      </c>
      <c r="AJ81" s="2"/>
      <c r="AK81" s="2">
        <v>32311</v>
      </c>
      <c r="AL81" s="2"/>
      <c r="AM81" s="2">
        <v>0</v>
      </c>
      <c r="AN81" s="2"/>
      <c r="AO81" s="2">
        <v>0</v>
      </c>
      <c r="AP81" s="2"/>
      <c r="AQ81" s="2">
        <v>0</v>
      </c>
      <c r="AR81" s="2"/>
      <c r="AS81" s="2">
        <v>0</v>
      </c>
      <c r="AT81" s="2"/>
      <c r="AU81" s="2">
        <f t="shared" si="6"/>
        <v>32311</v>
      </c>
      <c r="AV81" s="2"/>
      <c r="AW81" s="2">
        <f t="shared" si="4"/>
        <v>8077038</v>
      </c>
      <c r="AY81" s="19"/>
    </row>
    <row r="82" spans="1:51">
      <c r="A82" s="2" t="s">
        <v>433</v>
      </c>
      <c r="B82" s="19"/>
      <c r="C82" s="19" t="s">
        <v>186</v>
      </c>
      <c r="E82" s="19">
        <v>46938</v>
      </c>
      <c r="G82" s="2">
        <v>0</v>
      </c>
      <c r="H82" s="2"/>
      <c r="I82" s="2">
        <v>4560256</v>
      </c>
      <c r="J82" s="2"/>
      <c r="K82" s="2">
        <v>161133</v>
      </c>
      <c r="L82" s="2"/>
      <c r="M82" s="2">
        <v>19696381</v>
      </c>
      <c r="N82" s="2"/>
      <c r="O82" s="2">
        <v>0</v>
      </c>
      <c r="P82" s="2"/>
      <c r="Q82" s="2">
        <v>0</v>
      </c>
      <c r="R82" s="2"/>
      <c r="S82" s="2">
        <v>0</v>
      </c>
      <c r="T82" s="2"/>
      <c r="U82" s="2">
        <v>22174077</v>
      </c>
      <c r="V82" s="2"/>
      <c r="W82" s="30">
        <f t="shared" si="5"/>
        <v>46591847</v>
      </c>
      <c r="X82" s="2"/>
      <c r="Y82" s="2">
        <v>751</v>
      </c>
      <c r="Z82" s="2"/>
      <c r="AA82" s="2">
        <v>0</v>
      </c>
      <c r="AB82" s="2"/>
      <c r="AC82" s="2" t="s">
        <v>433</v>
      </c>
      <c r="AD82" s="19"/>
      <c r="AE82" s="19" t="s">
        <v>186</v>
      </c>
      <c r="AF82" s="2"/>
      <c r="AG82" s="2">
        <v>0</v>
      </c>
      <c r="AH82" s="2"/>
      <c r="AI82" s="2">
        <v>0</v>
      </c>
      <c r="AJ82" s="2"/>
      <c r="AK82" s="2">
        <v>0</v>
      </c>
      <c r="AL82" s="2"/>
      <c r="AM82" s="2">
        <v>0</v>
      </c>
      <c r="AN82" s="2"/>
      <c r="AO82" s="2">
        <v>0</v>
      </c>
      <c r="AP82" s="2"/>
      <c r="AQ82" s="2">
        <v>0</v>
      </c>
      <c r="AR82" s="2"/>
      <c r="AS82" s="2">
        <v>1649918</v>
      </c>
      <c r="AT82" s="2"/>
      <c r="AU82" s="2">
        <f t="shared" si="6"/>
        <v>1650669</v>
      </c>
      <c r="AV82" s="2"/>
      <c r="AW82" s="2">
        <f t="shared" si="4"/>
        <v>48242516</v>
      </c>
      <c r="AY82" s="60" t="s">
        <v>409</v>
      </c>
    </row>
    <row r="83" spans="1:51">
      <c r="A83" s="19" t="s">
        <v>188</v>
      </c>
      <c r="B83" s="19"/>
      <c r="C83" s="19" t="s">
        <v>189</v>
      </c>
      <c r="E83" s="19">
        <v>125682</v>
      </c>
      <c r="G83" s="2">
        <v>0</v>
      </c>
      <c r="H83" s="2"/>
      <c r="I83" s="2">
        <v>184421</v>
      </c>
      <c r="J83" s="2"/>
      <c r="K83" s="2">
        <v>32459</v>
      </c>
      <c r="L83" s="2"/>
      <c r="M83" s="2">
        <v>0</v>
      </c>
      <c r="N83" s="2"/>
      <c r="O83" s="2">
        <v>0</v>
      </c>
      <c r="P83" s="2"/>
      <c r="Q83" s="2">
        <v>0</v>
      </c>
      <c r="R83" s="2"/>
      <c r="S83" s="2">
        <v>0</v>
      </c>
      <c r="T83" s="2"/>
      <c r="U83" s="2">
        <v>1000332</v>
      </c>
      <c r="V83" s="2"/>
      <c r="W83" s="30">
        <f t="shared" si="5"/>
        <v>1217212</v>
      </c>
      <c r="X83" s="2"/>
      <c r="Y83" s="2">
        <v>0</v>
      </c>
      <c r="Z83" s="2"/>
      <c r="AA83" s="2">
        <v>0</v>
      </c>
      <c r="AB83" s="2"/>
      <c r="AC83" s="19" t="s">
        <v>188</v>
      </c>
      <c r="AD83" s="19"/>
      <c r="AE83" s="19" t="s">
        <v>189</v>
      </c>
      <c r="AF83" s="2"/>
      <c r="AG83" s="2">
        <v>0</v>
      </c>
      <c r="AH83" s="2"/>
      <c r="AI83" s="2">
        <v>0</v>
      </c>
      <c r="AJ83" s="2"/>
      <c r="AK83" s="2">
        <v>0</v>
      </c>
      <c r="AL83" s="2"/>
      <c r="AM83" s="2">
        <v>0</v>
      </c>
      <c r="AN83" s="2"/>
      <c r="AO83" s="2">
        <v>0</v>
      </c>
      <c r="AP83" s="2"/>
      <c r="AQ83" s="2">
        <v>0</v>
      </c>
      <c r="AR83" s="2"/>
      <c r="AS83" s="2">
        <v>0</v>
      </c>
      <c r="AT83" s="2"/>
      <c r="AU83" s="2">
        <f t="shared" si="6"/>
        <v>0</v>
      </c>
      <c r="AV83" s="2"/>
      <c r="AW83" s="2">
        <f t="shared" si="4"/>
        <v>1217212</v>
      </c>
    </row>
    <row r="84" spans="1:51" hidden="1">
      <c r="A84" s="72" t="s">
        <v>393</v>
      </c>
      <c r="B84" s="19"/>
      <c r="C84" s="19" t="s">
        <v>191</v>
      </c>
      <c r="E84" s="19">
        <v>47159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0">
        <f t="shared" si="5"/>
        <v>0</v>
      </c>
      <c r="X84" s="2"/>
      <c r="Y84" s="2">
        <v>0</v>
      </c>
      <c r="Z84" s="2"/>
      <c r="AA84" s="2">
        <v>0</v>
      </c>
      <c r="AB84" s="2"/>
      <c r="AC84" s="19" t="s">
        <v>190</v>
      </c>
      <c r="AD84" s="19"/>
      <c r="AE84" s="19" t="s">
        <v>191</v>
      </c>
      <c r="AF84" s="2"/>
      <c r="AG84" s="2">
        <v>0</v>
      </c>
      <c r="AH84" s="2"/>
      <c r="AI84" s="2">
        <v>0</v>
      </c>
      <c r="AJ84" s="2"/>
      <c r="AK84" s="2">
        <v>0</v>
      </c>
      <c r="AL84" s="2"/>
      <c r="AM84" s="2">
        <v>0</v>
      </c>
      <c r="AN84" s="2"/>
      <c r="AO84" s="2">
        <v>0</v>
      </c>
      <c r="AP84" s="2"/>
      <c r="AQ84" s="2">
        <v>0</v>
      </c>
      <c r="AR84" s="2"/>
      <c r="AS84" s="2">
        <v>0</v>
      </c>
      <c r="AT84" s="2"/>
      <c r="AU84" s="2">
        <f t="shared" si="6"/>
        <v>0</v>
      </c>
      <c r="AV84" s="2"/>
      <c r="AW84" s="2">
        <f t="shared" si="4"/>
        <v>0</v>
      </c>
      <c r="AY84" s="72" t="s">
        <v>394</v>
      </c>
    </row>
    <row r="85" spans="1:51">
      <c r="A85" s="19" t="s">
        <v>192</v>
      </c>
      <c r="B85" s="19"/>
      <c r="C85" s="19" t="s">
        <v>193</v>
      </c>
      <c r="E85" s="19">
        <v>47233</v>
      </c>
      <c r="G85" s="2">
        <v>0</v>
      </c>
      <c r="H85" s="2"/>
      <c r="I85" s="2">
        <v>2329441</v>
      </c>
      <c r="J85" s="2"/>
      <c r="K85" s="2">
        <v>16805</v>
      </c>
      <c r="L85" s="2"/>
      <c r="M85" s="2">
        <v>10386953</v>
      </c>
      <c r="N85" s="2"/>
      <c r="O85" s="2">
        <v>0</v>
      </c>
      <c r="P85" s="2"/>
      <c r="Q85" s="2">
        <v>0</v>
      </c>
      <c r="R85" s="2"/>
      <c r="S85" s="2">
        <v>0</v>
      </c>
      <c r="T85" s="2"/>
      <c r="U85" s="2">
        <v>244013</v>
      </c>
      <c r="V85" s="2"/>
      <c r="W85" s="30">
        <f t="shared" si="5"/>
        <v>12977212</v>
      </c>
      <c r="X85" s="2"/>
      <c r="Y85" s="2">
        <v>0</v>
      </c>
      <c r="Z85" s="2"/>
      <c r="AA85" s="2">
        <v>0</v>
      </c>
      <c r="AB85" s="2"/>
      <c r="AC85" s="19" t="s">
        <v>192</v>
      </c>
      <c r="AD85" s="19"/>
      <c r="AE85" s="19" t="s">
        <v>193</v>
      </c>
      <c r="AF85" s="2"/>
      <c r="AG85" s="2">
        <v>0</v>
      </c>
      <c r="AH85" s="2"/>
      <c r="AI85" s="2">
        <v>0</v>
      </c>
      <c r="AJ85" s="2"/>
      <c r="AK85" s="2">
        <v>0</v>
      </c>
      <c r="AL85" s="2"/>
      <c r="AM85" s="2">
        <v>0</v>
      </c>
      <c r="AN85" s="2"/>
      <c r="AO85" s="2">
        <v>0</v>
      </c>
      <c r="AP85" s="2"/>
      <c r="AQ85" s="2">
        <v>0</v>
      </c>
      <c r="AR85" s="2"/>
      <c r="AS85" s="2">
        <v>0</v>
      </c>
      <c r="AT85" s="2"/>
      <c r="AU85" s="2">
        <f t="shared" si="6"/>
        <v>0</v>
      </c>
      <c r="AV85" s="2"/>
      <c r="AW85" s="2">
        <f t="shared" si="4"/>
        <v>12977212</v>
      </c>
    </row>
    <row r="86" spans="1:51">
      <c r="A86" s="19" t="s">
        <v>194</v>
      </c>
      <c r="B86" s="19"/>
      <c r="C86" s="19" t="s">
        <v>195</v>
      </c>
      <c r="E86" s="19">
        <v>47324</v>
      </c>
      <c r="G86" s="2">
        <v>0</v>
      </c>
      <c r="H86" s="2"/>
      <c r="I86" s="2">
        <v>3919788</v>
      </c>
      <c r="J86" s="2"/>
      <c r="K86" s="2">
        <v>286980</v>
      </c>
      <c r="L86" s="2"/>
      <c r="M86" s="2">
        <v>1791790</v>
      </c>
      <c r="N86" s="2"/>
      <c r="O86" s="2">
        <v>0</v>
      </c>
      <c r="P86" s="2"/>
      <c r="Q86" s="2">
        <v>0</v>
      </c>
      <c r="R86" s="2"/>
      <c r="S86" s="2">
        <v>0</v>
      </c>
      <c r="T86" s="2"/>
      <c r="U86" s="2">
        <v>25381316</v>
      </c>
      <c r="V86" s="2"/>
      <c r="W86" s="30">
        <f t="shared" si="5"/>
        <v>31379874</v>
      </c>
      <c r="X86" s="2"/>
      <c r="Y86" s="2">
        <v>0</v>
      </c>
      <c r="Z86" s="2"/>
      <c r="AA86" s="2">
        <v>0</v>
      </c>
      <c r="AB86" s="2"/>
      <c r="AC86" s="19" t="s">
        <v>194</v>
      </c>
      <c r="AD86" s="19"/>
      <c r="AE86" s="19" t="s">
        <v>195</v>
      </c>
      <c r="AF86" s="2"/>
      <c r="AG86" s="2">
        <v>0</v>
      </c>
      <c r="AH86" s="2"/>
      <c r="AI86" s="2">
        <v>0</v>
      </c>
      <c r="AJ86" s="2"/>
      <c r="AK86" s="2">
        <v>0</v>
      </c>
      <c r="AL86" s="2"/>
      <c r="AM86" s="2">
        <v>0</v>
      </c>
      <c r="AN86" s="2"/>
      <c r="AO86" s="2">
        <v>0</v>
      </c>
      <c r="AP86" s="2"/>
      <c r="AQ86" s="2">
        <v>0</v>
      </c>
      <c r="AR86" s="2"/>
      <c r="AS86" s="2">
        <v>0</v>
      </c>
      <c r="AT86" s="2"/>
      <c r="AU86" s="2">
        <f t="shared" si="6"/>
        <v>0</v>
      </c>
      <c r="AV86" s="2"/>
      <c r="AW86" s="2">
        <f t="shared" si="4"/>
        <v>31379874</v>
      </c>
    </row>
    <row r="87" spans="1:51">
      <c r="A87" s="19" t="s">
        <v>196</v>
      </c>
      <c r="B87" s="19"/>
      <c r="C87" s="19" t="s">
        <v>197</v>
      </c>
      <c r="E87" s="19">
        <v>47407</v>
      </c>
      <c r="G87" s="2">
        <v>0</v>
      </c>
      <c r="H87" s="2"/>
      <c r="I87" s="2">
        <v>862596</v>
      </c>
      <c r="J87" s="2"/>
      <c r="K87" s="2">
        <v>8614</v>
      </c>
      <c r="L87" s="2"/>
      <c r="M87" s="2">
        <v>1934046</v>
      </c>
      <c r="N87" s="2"/>
      <c r="O87" s="2">
        <v>0</v>
      </c>
      <c r="P87" s="2"/>
      <c r="Q87" s="2">
        <v>0</v>
      </c>
      <c r="R87" s="2"/>
      <c r="S87" s="2">
        <v>0</v>
      </c>
      <c r="T87" s="2"/>
      <c r="U87" s="2">
        <v>2361100</v>
      </c>
      <c r="V87" s="2"/>
      <c r="W87" s="30">
        <f t="shared" si="5"/>
        <v>5166356</v>
      </c>
      <c r="X87" s="2"/>
      <c r="Y87" s="2">
        <v>0</v>
      </c>
      <c r="Z87" s="2"/>
      <c r="AA87" s="2">
        <v>0</v>
      </c>
      <c r="AB87" s="2"/>
      <c r="AC87" s="19" t="s">
        <v>196</v>
      </c>
      <c r="AD87" s="19"/>
      <c r="AE87" s="19" t="s">
        <v>197</v>
      </c>
      <c r="AF87" s="2"/>
      <c r="AG87" s="2">
        <v>0</v>
      </c>
      <c r="AH87" s="2"/>
      <c r="AI87" s="2">
        <v>0</v>
      </c>
      <c r="AJ87" s="2"/>
      <c r="AK87" s="2">
        <v>0</v>
      </c>
      <c r="AL87" s="2"/>
      <c r="AM87" s="2">
        <v>0</v>
      </c>
      <c r="AN87" s="2"/>
      <c r="AO87" s="2">
        <v>0</v>
      </c>
      <c r="AP87" s="2"/>
      <c r="AQ87" s="2">
        <v>0</v>
      </c>
      <c r="AR87" s="2"/>
      <c r="AS87" s="2">
        <v>0</v>
      </c>
      <c r="AT87" s="2"/>
      <c r="AU87" s="2">
        <f t="shared" si="6"/>
        <v>0</v>
      </c>
      <c r="AV87" s="2"/>
      <c r="AW87" s="2">
        <f t="shared" si="4"/>
        <v>5166356</v>
      </c>
    </row>
    <row r="88" spans="1:51">
      <c r="A88" s="19" t="s">
        <v>198</v>
      </c>
      <c r="B88" s="19"/>
      <c r="C88" s="19" t="s">
        <v>23</v>
      </c>
      <c r="E88" s="19">
        <v>47480</v>
      </c>
      <c r="G88" s="2">
        <v>0</v>
      </c>
      <c r="H88" s="2"/>
      <c r="I88" s="2">
        <v>675260</v>
      </c>
      <c r="J88" s="2"/>
      <c r="K88" s="2">
        <v>8860</v>
      </c>
      <c r="L88" s="2"/>
      <c r="M88" s="2">
        <v>1048436</v>
      </c>
      <c r="N88" s="2"/>
      <c r="O88" s="2">
        <v>0</v>
      </c>
      <c r="P88" s="2"/>
      <c r="Q88" s="2">
        <v>0</v>
      </c>
      <c r="R88" s="2"/>
      <c r="S88" s="2">
        <v>0</v>
      </c>
      <c r="T88" s="2"/>
      <c r="U88" s="2">
        <v>122143</v>
      </c>
      <c r="V88" s="2"/>
      <c r="W88" s="30">
        <f t="shared" si="5"/>
        <v>1854699</v>
      </c>
      <c r="X88" s="2"/>
      <c r="Y88" s="2">
        <v>0</v>
      </c>
      <c r="Z88" s="2"/>
      <c r="AA88" s="2">
        <v>0</v>
      </c>
      <c r="AB88" s="2"/>
      <c r="AC88" s="19" t="s">
        <v>198</v>
      </c>
      <c r="AD88" s="19"/>
      <c r="AE88" s="19" t="s">
        <v>23</v>
      </c>
      <c r="AF88" s="2"/>
      <c r="AG88" s="2">
        <v>0</v>
      </c>
      <c r="AH88" s="2"/>
      <c r="AI88" s="2">
        <v>0</v>
      </c>
      <c r="AJ88" s="2"/>
      <c r="AK88" s="2">
        <v>0</v>
      </c>
      <c r="AL88" s="2"/>
      <c r="AM88" s="2">
        <v>0</v>
      </c>
      <c r="AN88" s="2"/>
      <c r="AO88" s="2">
        <v>0</v>
      </c>
      <c r="AP88" s="2"/>
      <c r="AQ88" s="2">
        <v>0</v>
      </c>
      <c r="AR88" s="2"/>
      <c r="AS88" s="2">
        <v>0</v>
      </c>
      <c r="AT88" s="2"/>
      <c r="AU88" s="2">
        <f t="shared" si="6"/>
        <v>0</v>
      </c>
      <c r="AV88" s="2"/>
      <c r="AW88" s="2">
        <f t="shared" si="4"/>
        <v>1854699</v>
      </c>
    </row>
    <row r="89" spans="1:51">
      <c r="A89" s="19" t="s">
        <v>199</v>
      </c>
      <c r="B89" s="19"/>
      <c r="C89" s="19" t="s">
        <v>200</v>
      </c>
      <c r="E89" s="19">
        <v>47779</v>
      </c>
      <c r="G89" s="2">
        <v>0</v>
      </c>
      <c r="H89" s="2"/>
      <c r="I89" s="2">
        <v>1012033</v>
      </c>
      <c r="J89" s="2"/>
      <c r="K89" s="2">
        <v>18712</v>
      </c>
      <c r="L89" s="2"/>
      <c r="M89" s="2">
        <v>720367</v>
      </c>
      <c r="N89" s="2"/>
      <c r="O89" s="2">
        <v>0</v>
      </c>
      <c r="P89" s="2"/>
      <c r="Q89" s="2">
        <v>0</v>
      </c>
      <c r="R89" s="2"/>
      <c r="S89" s="2">
        <v>0</v>
      </c>
      <c r="T89" s="2"/>
      <c r="U89" s="2">
        <v>4758103</v>
      </c>
      <c r="V89" s="2"/>
      <c r="W89" s="30">
        <f t="shared" si="5"/>
        <v>6509215</v>
      </c>
      <c r="X89" s="2"/>
      <c r="Y89" s="2">
        <v>0</v>
      </c>
      <c r="Z89" s="2"/>
      <c r="AA89" s="2">
        <v>0</v>
      </c>
      <c r="AB89" s="2"/>
      <c r="AC89" s="19" t="s">
        <v>199</v>
      </c>
      <c r="AD89" s="19"/>
      <c r="AE89" s="19" t="s">
        <v>200</v>
      </c>
      <c r="AF89" s="2"/>
      <c r="AG89" s="2">
        <v>0</v>
      </c>
      <c r="AH89" s="2"/>
      <c r="AI89" s="2">
        <v>0</v>
      </c>
      <c r="AJ89" s="2"/>
      <c r="AK89" s="2">
        <v>0</v>
      </c>
      <c r="AL89" s="2"/>
      <c r="AM89" s="2">
        <v>0</v>
      </c>
      <c r="AN89" s="2"/>
      <c r="AO89" s="2">
        <v>0</v>
      </c>
      <c r="AP89" s="2"/>
      <c r="AQ89" s="2">
        <v>0</v>
      </c>
      <c r="AR89" s="2"/>
      <c r="AS89" s="2">
        <v>0</v>
      </c>
      <c r="AT89" s="2"/>
      <c r="AU89" s="2">
        <f t="shared" si="6"/>
        <v>0</v>
      </c>
      <c r="AV89" s="2"/>
      <c r="AW89" s="2">
        <f t="shared" si="4"/>
        <v>6509215</v>
      </c>
    </row>
    <row r="90" spans="1:51">
      <c r="A90" s="19" t="s">
        <v>201</v>
      </c>
      <c r="B90" s="19"/>
      <c r="C90" s="19" t="s">
        <v>202</v>
      </c>
      <c r="E90" s="19">
        <v>47811</v>
      </c>
      <c r="G90" s="2">
        <v>0</v>
      </c>
      <c r="H90" s="2"/>
      <c r="I90" s="2">
        <v>843985</v>
      </c>
      <c r="J90" s="2"/>
      <c r="K90" s="2">
        <v>18038</v>
      </c>
      <c r="L90" s="2"/>
      <c r="M90" s="2">
        <v>310296</v>
      </c>
      <c r="N90" s="2"/>
      <c r="O90" s="2">
        <v>0</v>
      </c>
      <c r="P90" s="2"/>
      <c r="Q90" s="2">
        <v>0</v>
      </c>
      <c r="R90" s="2"/>
      <c r="S90" s="2">
        <v>1000</v>
      </c>
      <c r="T90" s="2"/>
      <c r="U90" s="2">
        <v>4109123</v>
      </c>
      <c r="V90" s="2"/>
      <c r="W90" s="30">
        <f t="shared" si="5"/>
        <v>5282442</v>
      </c>
      <c r="X90" s="2"/>
      <c r="Y90" s="2">
        <v>0</v>
      </c>
      <c r="Z90" s="2"/>
      <c r="AA90" s="2">
        <v>0</v>
      </c>
      <c r="AB90" s="2"/>
      <c r="AC90" s="19" t="s">
        <v>201</v>
      </c>
      <c r="AD90" s="19"/>
      <c r="AE90" s="19" t="s">
        <v>202</v>
      </c>
      <c r="AF90" s="2"/>
      <c r="AG90" s="2">
        <v>0</v>
      </c>
      <c r="AH90" s="2"/>
      <c r="AI90" s="2">
        <v>0</v>
      </c>
      <c r="AJ90" s="2"/>
      <c r="AK90" s="2">
        <v>0</v>
      </c>
      <c r="AL90" s="2"/>
      <c r="AM90" s="2">
        <v>0</v>
      </c>
      <c r="AN90" s="2"/>
      <c r="AO90" s="2">
        <v>0</v>
      </c>
      <c r="AP90" s="2"/>
      <c r="AQ90" s="2">
        <v>0</v>
      </c>
      <c r="AR90" s="2"/>
      <c r="AS90" s="2">
        <v>0</v>
      </c>
      <c r="AT90" s="2"/>
      <c r="AU90" s="2">
        <f t="shared" si="6"/>
        <v>0</v>
      </c>
      <c r="AV90" s="2"/>
      <c r="AW90" s="2">
        <f t="shared" si="4"/>
        <v>5282442</v>
      </c>
    </row>
    <row r="91" spans="1:51">
      <c r="A91" s="19" t="s">
        <v>203</v>
      </c>
      <c r="B91" s="19"/>
      <c r="C91" s="19" t="s">
        <v>158</v>
      </c>
      <c r="E91" s="19">
        <v>47860</v>
      </c>
      <c r="G91" s="2">
        <v>0</v>
      </c>
      <c r="H91" s="2"/>
      <c r="I91" s="2">
        <v>2146061</v>
      </c>
      <c r="J91" s="2"/>
      <c r="K91" s="2">
        <v>5787</v>
      </c>
      <c r="L91" s="2"/>
      <c r="M91" s="2">
        <v>2666750</v>
      </c>
      <c r="N91" s="2"/>
      <c r="O91" s="2">
        <v>14157</v>
      </c>
      <c r="P91" s="2"/>
      <c r="Q91" s="2">
        <v>0</v>
      </c>
      <c r="R91" s="2"/>
      <c r="S91" s="2">
        <v>0</v>
      </c>
      <c r="T91" s="2"/>
      <c r="U91" s="2">
        <f>5731583+24128+11997</f>
        <v>5767708</v>
      </c>
      <c r="V91" s="2"/>
      <c r="W91" s="30">
        <f t="shared" si="5"/>
        <v>10600463</v>
      </c>
      <c r="X91" s="2"/>
      <c r="Y91" s="2">
        <v>0</v>
      </c>
      <c r="Z91" s="2"/>
      <c r="AA91" s="2">
        <v>0</v>
      </c>
      <c r="AB91" s="2"/>
      <c r="AC91" s="19" t="s">
        <v>203</v>
      </c>
      <c r="AD91" s="19"/>
      <c r="AE91" s="19" t="s">
        <v>158</v>
      </c>
      <c r="AF91" s="2"/>
      <c r="AG91" s="2">
        <v>0</v>
      </c>
      <c r="AH91" s="2"/>
      <c r="AI91" s="2">
        <v>0</v>
      </c>
      <c r="AJ91" s="2"/>
      <c r="AK91" s="2">
        <v>0</v>
      </c>
      <c r="AL91" s="2"/>
      <c r="AM91" s="2">
        <v>0</v>
      </c>
      <c r="AN91" s="2"/>
      <c r="AO91" s="2">
        <v>0</v>
      </c>
      <c r="AP91" s="2"/>
      <c r="AQ91" s="2">
        <v>0</v>
      </c>
      <c r="AR91" s="2"/>
      <c r="AS91" s="2">
        <v>0</v>
      </c>
      <c r="AT91" s="2"/>
      <c r="AU91" s="2">
        <f t="shared" si="6"/>
        <v>0</v>
      </c>
      <c r="AV91" s="2"/>
      <c r="AW91" s="2">
        <f t="shared" si="4"/>
        <v>10600463</v>
      </c>
      <c r="AY91" s="60"/>
    </row>
    <row r="92" spans="1:51">
      <c r="A92" s="19" t="s">
        <v>204</v>
      </c>
      <c r="B92" s="19"/>
      <c r="C92" s="19" t="s">
        <v>205</v>
      </c>
      <c r="E92" s="19">
        <v>47910</v>
      </c>
      <c r="G92" s="2">
        <v>0</v>
      </c>
      <c r="H92" s="2"/>
      <c r="I92" s="2">
        <v>369176</v>
      </c>
      <c r="J92" s="2"/>
      <c r="K92" s="2">
        <v>1190</v>
      </c>
      <c r="L92" s="2"/>
      <c r="M92" s="2">
        <v>0</v>
      </c>
      <c r="N92" s="2"/>
      <c r="O92" s="2">
        <v>0</v>
      </c>
      <c r="P92" s="2"/>
      <c r="Q92" s="2">
        <v>0</v>
      </c>
      <c r="R92" s="2"/>
      <c r="S92" s="2">
        <v>0</v>
      </c>
      <c r="T92" s="2"/>
      <c r="U92" s="2">
        <f>28039+1575+563854+570015</f>
        <v>1163483</v>
      </c>
      <c r="V92" s="2"/>
      <c r="W92" s="30">
        <f t="shared" si="5"/>
        <v>1533849</v>
      </c>
      <c r="X92" s="2"/>
      <c r="Y92" s="2">
        <v>0</v>
      </c>
      <c r="Z92" s="2"/>
      <c r="AA92" s="2">
        <v>0</v>
      </c>
      <c r="AB92" s="2"/>
      <c r="AC92" s="19" t="s">
        <v>204</v>
      </c>
      <c r="AD92" s="19"/>
      <c r="AE92" s="19" t="s">
        <v>205</v>
      </c>
      <c r="AF92" s="2"/>
      <c r="AG92" s="2">
        <v>0</v>
      </c>
      <c r="AH92" s="2"/>
      <c r="AI92" s="2">
        <v>0</v>
      </c>
      <c r="AJ92" s="2"/>
      <c r="AK92" s="2">
        <v>0</v>
      </c>
      <c r="AL92" s="2"/>
      <c r="AM92" s="2">
        <v>0</v>
      </c>
      <c r="AN92" s="2"/>
      <c r="AO92" s="2">
        <v>0</v>
      </c>
      <c r="AP92" s="2"/>
      <c r="AQ92" s="2">
        <v>0</v>
      </c>
      <c r="AR92" s="2"/>
      <c r="AS92" s="2">
        <v>0</v>
      </c>
      <c r="AT92" s="2"/>
      <c r="AU92" s="2">
        <f t="shared" si="6"/>
        <v>0</v>
      </c>
      <c r="AV92" s="2"/>
      <c r="AW92" s="2">
        <f t="shared" si="4"/>
        <v>1533849</v>
      </c>
    </row>
    <row r="93" spans="1:51">
      <c r="A93" s="13" t="s">
        <v>206</v>
      </c>
      <c r="B93" s="13"/>
      <c r="C93" s="13" t="s">
        <v>207</v>
      </c>
      <c r="E93" s="19"/>
      <c r="G93" s="2">
        <v>0</v>
      </c>
      <c r="H93" s="2"/>
      <c r="I93" s="2">
        <v>1336633</v>
      </c>
      <c r="J93" s="2"/>
      <c r="K93" s="2">
        <v>12367</v>
      </c>
      <c r="L93" s="2"/>
      <c r="M93" s="2">
        <v>400738</v>
      </c>
      <c r="N93" s="2"/>
      <c r="O93" s="2">
        <v>0</v>
      </c>
      <c r="P93" s="2"/>
      <c r="Q93" s="2">
        <v>0</v>
      </c>
      <c r="R93" s="2"/>
      <c r="S93" s="2">
        <v>23205</v>
      </c>
      <c r="T93" s="2"/>
      <c r="U93" s="2">
        <f>46251+250+7461982</f>
        <v>7508483</v>
      </c>
      <c r="V93" s="2"/>
      <c r="W93" s="30">
        <f>SUM(G93:V93)</f>
        <v>9281426</v>
      </c>
      <c r="X93" s="2"/>
      <c r="Y93" s="2">
        <v>0</v>
      </c>
      <c r="Z93" s="2"/>
      <c r="AA93" s="2">
        <v>0</v>
      </c>
      <c r="AB93" s="2"/>
      <c r="AC93" s="13" t="s">
        <v>206</v>
      </c>
      <c r="AD93" s="13"/>
      <c r="AE93" s="13" t="s">
        <v>207</v>
      </c>
      <c r="AF93" s="2"/>
      <c r="AG93" s="2">
        <v>0</v>
      </c>
      <c r="AH93" s="2"/>
      <c r="AI93" s="2">
        <v>0</v>
      </c>
      <c r="AJ93" s="2"/>
      <c r="AK93" s="2">
        <v>0</v>
      </c>
      <c r="AL93" s="2"/>
      <c r="AM93" s="2">
        <v>8263</v>
      </c>
      <c r="AN93" s="2"/>
      <c r="AO93" s="2">
        <v>0</v>
      </c>
      <c r="AP93" s="2"/>
      <c r="AQ93" s="2">
        <v>0</v>
      </c>
      <c r="AR93" s="2"/>
      <c r="AS93" s="2">
        <v>0</v>
      </c>
      <c r="AT93" s="2"/>
      <c r="AU93" s="2">
        <f>SUM(Y93:AS93)</f>
        <v>8263</v>
      </c>
      <c r="AV93" s="2"/>
      <c r="AW93" s="2">
        <f t="shared" si="4"/>
        <v>9289689</v>
      </c>
    </row>
    <row r="94" spans="1:51">
      <c r="A94" s="19" t="s">
        <v>208</v>
      </c>
      <c r="B94" s="19"/>
      <c r="C94" s="19" t="s">
        <v>209</v>
      </c>
      <c r="E94" s="19">
        <v>48058</v>
      </c>
      <c r="G94" s="2">
        <v>0</v>
      </c>
      <c r="H94" s="2"/>
      <c r="I94" s="2">
        <v>618381</v>
      </c>
      <c r="J94" s="2"/>
      <c r="K94" s="2">
        <v>2945</v>
      </c>
      <c r="L94" s="2"/>
      <c r="M94" s="2">
        <v>1054613</v>
      </c>
      <c r="N94" s="2"/>
      <c r="O94" s="2">
        <v>0</v>
      </c>
      <c r="P94" s="2"/>
      <c r="Q94" s="2">
        <v>0</v>
      </c>
      <c r="R94" s="2"/>
      <c r="S94" s="2">
        <v>0</v>
      </c>
      <c r="T94" s="2"/>
      <c r="U94" s="2">
        <f>641960+66960</f>
        <v>708920</v>
      </c>
      <c r="V94" s="2"/>
      <c r="W94" s="30">
        <f t="shared" si="5"/>
        <v>2384859</v>
      </c>
      <c r="X94" s="2"/>
      <c r="Y94" s="2">
        <v>0</v>
      </c>
      <c r="Z94" s="2"/>
      <c r="AA94" s="2">
        <v>0</v>
      </c>
      <c r="AB94" s="2"/>
      <c r="AC94" s="19" t="s">
        <v>208</v>
      </c>
      <c r="AD94" s="19"/>
      <c r="AE94" s="19" t="s">
        <v>209</v>
      </c>
      <c r="AF94" s="2"/>
      <c r="AG94" s="2">
        <v>0</v>
      </c>
      <c r="AH94" s="2"/>
      <c r="AI94" s="2">
        <v>0</v>
      </c>
      <c r="AJ94" s="2"/>
      <c r="AK94" s="2">
        <v>0</v>
      </c>
      <c r="AL94" s="2"/>
      <c r="AM94" s="2">
        <v>0</v>
      </c>
      <c r="AN94" s="2"/>
      <c r="AO94" s="2">
        <v>0</v>
      </c>
      <c r="AP94" s="2"/>
      <c r="AQ94" s="2">
        <v>0</v>
      </c>
      <c r="AR94" s="2"/>
      <c r="AS94" s="2">
        <v>0</v>
      </c>
      <c r="AT94" s="2"/>
      <c r="AU94" s="2">
        <f t="shared" si="6"/>
        <v>0</v>
      </c>
      <c r="AV94" s="2"/>
      <c r="AW94" s="2">
        <f t="shared" si="4"/>
        <v>2384859</v>
      </c>
    </row>
    <row r="95" spans="1:51" ht="12.6" customHeight="1">
      <c r="A95" s="19" t="s">
        <v>210</v>
      </c>
      <c r="B95" s="19"/>
      <c r="C95" s="19" t="s">
        <v>154</v>
      </c>
      <c r="E95" s="19">
        <v>48108</v>
      </c>
      <c r="G95" s="2">
        <v>0</v>
      </c>
      <c r="H95" s="2"/>
      <c r="I95" s="2">
        <v>2537326</v>
      </c>
      <c r="J95" s="2"/>
      <c r="K95" s="2">
        <v>153351</v>
      </c>
      <c r="L95" s="2"/>
      <c r="M95" s="2">
        <v>3516650</v>
      </c>
      <c r="N95" s="2"/>
      <c r="O95" s="2">
        <v>0</v>
      </c>
      <c r="P95" s="2"/>
      <c r="Q95" s="2">
        <v>0</v>
      </c>
      <c r="R95" s="2"/>
      <c r="S95" s="2">
        <v>0</v>
      </c>
      <c r="T95" s="2"/>
      <c r="U95" s="2">
        <f>1832549+89999</f>
        <v>1922548</v>
      </c>
      <c r="V95" s="2"/>
      <c r="W95" s="30">
        <f t="shared" si="5"/>
        <v>8129875</v>
      </c>
      <c r="X95" s="2"/>
      <c r="Y95" s="2">
        <v>199927</v>
      </c>
      <c r="Z95" s="2"/>
      <c r="AA95" s="2">
        <v>0</v>
      </c>
      <c r="AB95" s="2"/>
      <c r="AC95" s="19" t="s">
        <v>210</v>
      </c>
      <c r="AD95" s="19"/>
      <c r="AE95" s="19" t="s">
        <v>154</v>
      </c>
      <c r="AF95" s="2"/>
      <c r="AG95" s="2">
        <v>0</v>
      </c>
      <c r="AH95" s="2"/>
      <c r="AI95" s="2">
        <v>0</v>
      </c>
      <c r="AJ95" s="2"/>
      <c r="AK95" s="2">
        <v>0</v>
      </c>
      <c r="AL95" s="2"/>
      <c r="AM95" s="2">
        <v>0</v>
      </c>
      <c r="AN95" s="2"/>
      <c r="AO95" s="2">
        <v>0</v>
      </c>
      <c r="AP95" s="2"/>
      <c r="AQ95" s="2">
        <v>0</v>
      </c>
      <c r="AR95" s="2"/>
      <c r="AS95" s="2">
        <v>0</v>
      </c>
      <c r="AT95" s="2"/>
      <c r="AU95" s="2">
        <f t="shared" si="6"/>
        <v>199927</v>
      </c>
      <c r="AV95" s="2"/>
      <c r="AW95" s="2">
        <f t="shared" si="4"/>
        <v>8329802</v>
      </c>
    </row>
    <row r="96" spans="1:51">
      <c r="A96" s="19" t="s">
        <v>211</v>
      </c>
      <c r="B96" s="19"/>
      <c r="C96" s="19" t="s">
        <v>212</v>
      </c>
      <c r="E96" s="19">
        <v>48199</v>
      </c>
      <c r="G96" s="2">
        <v>0</v>
      </c>
      <c r="H96" s="2"/>
      <c r="I96" s="2">
        <f>2795625+50397</f>
        <v>2846022</v>
      </c>
      <c r="J96" s="2"/>
      <c r="K96" s="2">
        <v>98344</v>
      </c>
      <c r="L96" s="2"/>
      <c r="M96" s="2">
        <v>8701450</v>
      </c>
      <c r="N96" s="2"/>
      <c r="O96" s="2">
        <v>0</v>
      </c>
      <c r="P96" s="2"/>
      <c r="Q96" s="2">
        <v>0</v>
      </c>
      <c r="R96" s="2"/>
      <c r="S96" s="2">
        <v>0</v>
      </c>
      <c r="T96" s="2"/>
      <c r="U96" s="2">
        <f>104080+392335+2684823+2616</f>
        <v>3183854</v>
      </c>
      <c r="V96" s="2"/>
      <c r="W96" s="30">
        <f t="shared" si="5"/>
        <v>14829670</v>
      </c>
      <c r="X96" s="2"/>
      <c r="Y96" s="2">
        <v>1173194</v>
      </c>
      <c r="Z96" s="2"/>
      <c r="AA96" s="2">
        <v>0</v>
      </c>
      <c r="AB96" s="2"/>
      <c r="AC96" s="19" t="s">
        <v>211</v>
      </c>
      <c r="AD96" s="19"/>
      <c r="AE96" s="19" t="s">
        <v>212</v>
      </c>
      <c r="AF96" s="2"/>
      <c r="AG96" s="2">
        <v>0</v>
      </c>
      <c r="AH96" s="2"/>
      <c r="AI96" s="2">
        <v>0</v>
      </c>
      <c r="AJ96" s="2"/>
      <c r="AK96" s="2">
        <v>0</v>
      </c>
      <c r="AL96" s="2"/>
      <c r="AM96" s="2">
        <v>0</v>
      </c>
      <c r="AN96" s="2"/>
      <c r="AO96" s="2">
        <v>0</v>
      </c>
      <c r="AP96" s="2"/>
      <c r="AQ96" s="2">
        <v>0</v>
      </c>
      <c r="AR96" s="2"/>
      <c r="AS96" s="2">
        <v>0</v>
      </c>
      <c r="AT96" s="2"/>
      <c r="AU96" s="2">
        <f t="shared" si="6"/>
        <v>1173194</v>
      </c>
      <c r="AV96" s="2"/>
      <c r="AW96" s="2">
        <f t="shared" si="4"/>
        <v>16002864</v>
      </c>
    </row>
    <row r="97" spans="1:51" s="96" customFormat="1">
      <c r="A97" s="19" t="s">
        <v>166</v>
      </c>
      <c r="B97" s="19"/>
      <c r="C97" s="19" t="s">
        <v>167</v>
      </c>
      <c r="E97" s="19">
        <v>137364</v>
      </c>
      <c r="G97" s="2">
        <v>0</v>
      </c>
      <c r="H97" s="2"/>
      <c r="I97" s="2">
        <f>26850+1281021+89895</f>
        <v>1397766</v>
      </c>
      <c r="J97" s="2"/>
      <c r="K97" s="2">
        <v>45308</v>
      </c>
      <c r="L97" s="2"/>
      <c r="M97" s="2">
        <v>7842067</v>
      </c>
      <c r="N97" s="2"/>
      <c r="O97" s="2">
        <v>0</v>
      </c>
      <c r="P97" s="2"/>
      <c r="Q97" s="2">
        <v>0</v>
      </c>
      <c r="R97" s="2"/>
      <c r="S97" s="2">
        <v>0</v>
      </c>
      <c r="T97" s="2"/>
      <c r="U97" s="2">
        <v>185714</v>
      </c>
      <c r="V97" s="2"/>
      <c r="W97" s="30">
        <f t="shared" si="5"/>
        <v>9470855</v>
      </c>
      <c r="X97" s="2"/>
      <c r="Y97" s="2">
        <v>0</v>
      </c>
      <c r="Z97" s="2"/>
      <c r="AA97" s="2">
        <v>0</v>
      </c>
      <c r="AB97" s="2"/>
      <c r="AC97" s="19" t="s">
        <v>166</v>
      </c>
      <c r="AD97" s="19"/>
      <c r="AE97" s="19" t="s">
        <v>167</v>
      </c>
      <c r="AF97" s="2"/>
      <c r="AG97" s="2">
        <v>0</v>
      </c>
      <c r="AH97" s="2"/>
      <c r="AI97" s="2">
        <v>0</v>
      </c>
      <c r="AJ97" s="2"/>
      <c r="AK97" s="2">
        <v>0</v>
      </c>
      <c r="AL97" s="2"/>
      <c r="AM97" s="2">
        <v>108952</v>
      </c>
      <c r="AN97" s="2"/>
      <c r="AO97" s="2">
        <v>0</v>
      </c>
      <c r="AP97" s="2"/>
      <c r="AQ97" s="2">
        <v>0</v>
      </c>
      <c r="AR97" s="2"/>
      <c r="AS97" s="2">
        <v>0</v>
      </c>
      <c r="AT97" s="2"/>
      <c r="AU97" s="2">
        <f t="shared" si="6"/>
        <v>108952</v>
      </c>
      <c r="AV97" s="2"/>
      <c r="AW97" s="2">
        <f t="shared" si="4"/>
        <v>9579807</v>
      </c>
      <c r="AY97" s="97"/>
    </row>
    <row r="98" spans="1:51" s="96" customFormat="1">
      <c r="A98" s="19" t="s">
        <v>213</v>
      </c>
      <c r="B98" s="19"/>
      <c r="C98" s="19" t="s">
        <v>214</v>
      </c>
      <c r="E98" s="19">
        <v>48280</v>
      </c>
      <c r="G98" s="2">
        <v>0</v>
      </c>
      <c r="H98" s="2"/>
      <c r="I98" s="2">
        <f>1900422+359480</f>
        <v>2259902</v>
      </c>
      <c r="J98" s="2"/>
      <c r="K98" s="2">
        <v>183273</v>
      </c>
      <c r="L98" s="2"/>
      <c r="M98" s="2">
        <v>10159996</v>
      </c>
      <c r="N98" s="2"/>
      <c r="O98" s="2">
        <v>0</v>
      </c>
      <c r="P98" s="2"/>
      <c r="Q98" s="2">
        <v>0</v>
      </c>
      <c r="R98" s="2"/>
      <c r="S98" s="2">
        <v>0</v>
      </c>
      <c r="T98" s="2"/>
      <c r="U98" s="2">
        <f>3722873+52911</f>
        <v>3775784</v>
      </c>
      <c r="V98" s="2"/>
      <c r="W98" s="30">
        <f t="shared" si="5"/>
        <v>16378955</v>
      </c>
      <c r="X98" s="2"/>
      <c r="Y98" s="2">
        <v>0</v>
      </c>
      <c r="Z98" s="2"/>
      <c r="AA98" s="2">
        <v>0</v>
      </c>
      <c r="AB98" s="2"/>
      <c r="AC98" s="19" t="s">
        <v>213</v>
      </c>
      <c r="AD98" s="19"/>
      <c r="AE98" s="19" t="s">
        <v>214</v>
      </c>
      <c r="AF98" s="2"/>
      <c r="AG98" s="2">
        <v>0</v>
      </c>
      <c r="AH98" s="2"/>
      <c r="AI98" s="2">
        <v>0</v>
      </c>
      <c r="AJ98" s="2"/>
      <c r="AK98" s="2">
        <v>0</v>
      </c>
      <c r="AL98" s="2"/>
      <c r="AM98" s="2">
        <v>0</v>
      </c>
      <c r="AN98" s="2"/>
      <c r="AO98" s="2">
        <v>0</v>
      </c>
      <c r="AP98" s="2"/>
      <c r="AQ98" s="2">
        <v>0</v>
      </c>
      <c r="AR98" s="2"/>
      <c r="AS98" s="2">
        <v>0</v>
      </c>
      <c r="AT98" s="2"/>
      <c r="AU98" s="2">
        <f t="shared" si="6"/>
        <v>0</v>
      </c>
      <c r="AV98" s="2"/>
      <c r="AW98" s="2">
        <f t="shared" si="4"/>
        <v>16378955</v>
      </c>
      <c r="AY98" s="97"/>
    </row>
    <row r="99" spans="1:51" s="96" customFormat="1">
      <c r="A99" s="19" t="s">
        <v>215</v>
      </c>
      <c r="B99" s="19"/>
      <c r="C99" s="19" t="s">
        <v>216</v>
      </c>
      <c r="E99" s="19">
        <v>48454</v>
      </c>
      <c r="G99" s="2">
        <v>0</v>
      </c>
      <c r="H99" s="2"/>
      <c r="I99" s="2">
        <v>1470378</v>
      </c>
      <c r="J99" s="2"/>
      <c r="K99" s="2">
        <v>47058</v>
      </c>
      <c r="L99" s="2"/>
      <c r="M99" s="2">
        <v>148847</v>
      </c>
      <c r="N99" s="2"/>
      <c r="O99" s="2">
        <v>0</v>
      </c>
      <c r="P99" s="2"/>
      <c r="Q99" s="2">
        <v>0</v>
      </c>
      <c r="R99" s="2"/>
      <c r="S99" s="2">
        <v>0</v>
      </c>
      <c r="T99" s="2"/>
      <c r="U99" s="2">
        <v>3488066</v>
      </c>
      <c r="V99" s="2"/>
      <c r="W99" s="30">
        <f t="shared" si="5"/>
        <v>5154349</v>
      </c>
      <c r="X99" s="2"/>
      <c r="Y99" s="2">
        <v>0</v>
      </c>
      <c r="Z99" s="2"/>
      <c r="AA99" s="2">
        <v>0</v>
      </c>
      <c r="AB99" s="2"/>
      <c r="AC99" s="19" t="s">
        <v>215</v>
      </c>
      <c r="AD99" s="19"/>
      <c r="AE99" s="19" t="s">
        <v>216</v>
      </c>
      <c r="AF99" s="2"/>
      <c r="AG99" s="2">
        <v>0</v>
      </c>
      <c r="AH99" s="2"/>
      <c r="AI99" s="2">
        <v>0</v>
      </c>
      <c r="AJ99" s="2"/>
      <c r="AK99" s="2">
        <v>0</v>
      </c>
      <c r="AL99" s="2"/>
      <c r="AM99" s="2">
        <v>0</v>
      </c>
      <c r="AN99" s="2"/>
      <c r="AO99" s="2">
        <v>0</v>
      </c>
      <c r="AP99" s="2"/>
      <c r="AQ99" s="2">
        <v>0</v>
      </c>
      <c r="AR99" s="2"/>
      <c r="AS99" s="2">
        <v>0</v>
      </c>
      <c r="AT99" s="2"/>
      <c r="AU99" s="2">
        <f t="shared" si="6"/>
        <v>0</v>
      </c>
      <c r="AV99" s="2"/>
      <c r="AW99" s="2">
        <f t="shared" ref="AW99:AW127" si="7">+AU99+W99</f>
        <v>5154349</v>
      </c>
    </row>
    <row r="100" spans="1:51" s="96" customFormat="1" hidden="1">
      <c r="A100" s="13" t="s">
        <v>419</v>
      </c>
      <c r="B100" s="19"/>
      <c r="C100" s="19" t="s">
        <v>218</v>
      </c>
      <c r="E100" s="19">
        <v>48546</v>
      </c>
      <c r="G100" s="2"/>
      <c r="H100" s="2"/>
      <c r="I100" s="2">
        <v>1355170</v>
      </c>
      <c r="J100" s="2"/>
      <c r="K100" s="2">
        <v>9505</v>
      </c>
      <c r="L100" s="2"/>
      <c r="M100" s="2">
        <v>47181</v>
      </c>
      <c r="N100" s="2"/>
      <c r="O100" s="2">
        <v>6418</v>
      </c>
      <c r="P100" s="2"/>
      <c r="Q100" s="2"/>
      <c r="R100" s="2"/>
      <c r="S100" s="2"/>
      <c r="T100" s="2"/>
      <c r="U100" s="2">
        <f>3944033+16941</f>
        <v>3960974</v>
      </c>
      <c r="V100" s="2"/>
      <c r="W100" s="30">
        <f t="shared" si="5"/>
        <v>5379248</v>
      </c>
      <c r="X100" s="2"/>
      <c r="Y100" s="2">
        <v>0</v>
      </c>
      <c r="Z100" s="2"/>
      <c r="AA100" s="2">
        <v>0</v>
      </c>
      <c r="AB100" s="2"/>
      <c r="AC100" s="19" t="s">
        <v>217</v>
      </c>
      <c r="AD100" s="19"/>
      <c r="AE100" s="19" t="s">
        <v>218</v>
      </c>
      <c r="AF100" s="2"/>
      <c r="AG100" s="2">
        <v>0</v>
      </c>
      <c r="AH100" s="2"/>
      <c r="AI100" s="2">
        <v>0</v>
      </c>
      <c r="AJ100" s="2"/>
      <c r="AK100" s="2">
        <v>0</v>
      </c>
      <c r="AL100" s="2"/>
      <c r="AM100" s="2">
        <v>0</v>
      </c>
      <c r="AN100" s="2"/>
      <c r="AO100" s="2">
        <v>0</v>
      </c>
      <c r="AP100" s="2"/>
      <c r="AQ100" s="2">
        <v>0</v>
      </c>
      <c r="AR100" s="2"/>
      <c r="AS100" s="2">
        <v>0</v>
      </c>
      <c r="AT100" s="2"/>
      <c r="AU100" s="2">
        <f t="shared" si="6"/>
        <v>0</v>
      </c>
      <c r="AV100" s="2"/>
      <c r="AW100" s="2">
        <f t="shared" si="7"/>
        <v>5379248</v>
      </c>
      <c r="AY100" s="63" t="s">
        <v>373</v>
      </c>
    </row>
    <row r="101" spans="1:51" s="96" customFormat="1">
      <c r="A101" s="19" t="s">
        <v>219</v>
      </c>
      <c r="B101" s="19"/>
      <c r="C101" s="19" t="s">
        <v>220</v>
      </c>
      <c r="E101" s="19">
        <v>48603</v>
      </c>
      <c r="G101" s="2">
        <v>0</v>
      </c>
      <c r="H101" s="2"/>
      <c r="I101" s="2">
        <v>1176550</v>
      </c>
      <c r="J101" s="2"/>
      <c r="K101" s="2">
        <v>28153</v>
      </c>
      <c r="L101" s="2"/>
      <c r="M101" s="2">
        <v>9626586</v>
      </c>
      <c r="N101" s="2"/>
      <c r="O101" s="2">
        <v>0</v>
      </c>
      <c r="P101" s="2"/>
      <c r="Q101" s="2">
        <v>0</v>
      </c>
      <c r="R101" s="2"/>
      <c r="S101" s="2">
        <v>500</v>
      </c>
      <c r="T101" s="2"/>
      <c r="U101" s="2">
        <f>119479+78171</f>
        <v>197650</v>
      </c>
      <c r="V101" s="2"/>
      <c r="W101" s="30">
        <f t="shared" si="5"/>
        <v>11029439</v>
      </c>
      <c r="X101" s="2"/>
      <c r="Y101" s="2">
        <v>0</v>
      </c>
      <c r="Z101" s="2"/>
      <c r="AA101" s="2">
        <v>0</v>
      </c>
      <c r="AB101" s="2"/>
      <c r="AC101" s="19" t="s">
        <v>219</v>
      </c>
      <c r="AD101" s="19"/>
      <c r="AE101" s="19" t="s">
        <v>220</v>
      </c>
      <c r="AF101" s="2"/>
      <c r="AG101" s="2">
        <v>0</v>
      </c>
      <c r="AH101" s="2"/>
      <c r="AI101" s="2">
        <v>0</v>
      </c>
      <c r="AJ101" s="2"/>
      <c r="AK101" s="2">
        <v>0</v>
      </c>
      <c r="AL101" s="2"/>
      <c r="AM101" s="2">
        <v>0</v>
      </c>
      <c r="AN101" s="2"/>
      <c r="AO101" s="2">
        <v>0</v>
      </c>
      <c r="AP101" s="2"/>
      <c r="AQ101" s="2">
        <v>0</v>
      </c>
      <c r="AR101" s="2"/>
      <c r="AS101" s="2">
        <v>0</v>
      </c>
      <c r="AT101" s="2"/>
      <c r="AU101" s="2">
        <f t="shared" si="6"/>
        <v>0</v>
      </c>
      <c r="AV101" s="2"/>
      <c r="AW101" s="2">
        <f t="shared" si="7"/>
        <v>11029439</v>
      </c>
    </row>
    <row r="102" spans="1:51" s="96" customFormat="1" hidden="1">
      <c r="A102" s="2" t="s">
        <v>418</v>
      </c>
      <c r="B102" s="2"/>
      <c r="C102" s="2" t="s">
        <v>236</v>
      </c>
      <c r="E102" s="19"/>
      <c r="G102" s="2"/>
      <c r="H102" s="2"/>
      <c r="I102" s="2">
        <v>4208197</v>
      </c>
      <c r="J102" s="2"/>
      <c r="K102" s="2">
        <v>148145</v>
      </c>
      <c r="L102" s="2"/>
      <c r="M102" s="2">
        <v>4050264</v>
      </c>
      <c r="N102" s="2"/>
      <c r="O102" s="2"/>
      <c r="P102" s="2"/>
      <c r="Q102" s="2"/>
      <c r="R102" s="2"/>
      <c r="S102" s="2"/>
      <c r="T102" s="2"/>
      <c r="U102" s="2">
        <f>15952+432162+6522889</f>
        <v>6971003</v>
      </c>
      <c r="V102" s="2"/>
      <c r="W102" s="30">
        <f>SUM(G102:V102)</f>
        <v>15377609</v>
      </c>
      <c r="X102" s="2"/>
      <c r="Y102" s="2">
        <v>0</v>
      </c>
      <c r="Z102" s="2"/>
      <c r="AA102" s="2">
        <v>0</v>
      </c>
      <c r="AB102" s="2"/>
      <c r="AC102" s="2" t="s">
        <v>235</v>
      </c>
      <c r="AD102" s="2"/>
      <c r="AE102" s="2" t="s">
        <v>236</v>
      </c>
      <c r="AF102" s="2"/>
      <c r="AG102" s="2">
        <v>0</v>
      </c>
      <c r="AH102" s="2"/>
      <c r="AI102" s="2">
        <v>0</v>
      </c>
      <c r="AJ102" s="2"/>
      <c r="AK102" s="2">
        <v>0</v>
      </c>
      <c r="AL102" s="2"/>
      <c r="AM102" s="2">
        <v>0</v>
      </c>
      <c r="AN102" s="2"/>
      <c r="AO102" s="2">
        <v>0</v>
      </c>
      <c r="AP102" s="2"/>
      <c r="AQ102" s="2">
        <v>0</v>
      </c>
      <c r="AR102" s="2"/>
      <c r="AS102" s="2">
        <v>0</v>
      </c>
      <c r="AT102" s="2"/>
      <c r="AU102" s="2">
        <f>SUM(Y102:AS102)</f>
        <v>0</v>
      </c>
      <c r="AV102" s="2"/>
      <c r="AW102" s="2">
        <f t="shared" si="7"/>
        <v>15377609</v>
      </c>
      <c r="AY102" s="63" t="s">
        <v>373</v>
      </c>
    </row>
    <row r="103" spans="1:51" s="96" customFormat="1">
      <c r="A103" s="19" t="s">
        <v>221</v>
      </c>
      <c r="B103" s="19"/>
      <c r="C103" s="19" t="s">
        <v>222</v>
      </c>
      <c r="E103" s="19">
        <v>48660</v>
      </c>
      <c r="G103" s="2">
        <v>0</v>
      </c>
      <c r="H103" s="2"/>
      <c r="I103" s="2">
        <v>2177828</v>
      </c>
      <c r="J103" s="2"/>
      <c r="K103" s="2">
        <v>283848</v>
      </c>
      <c r="L103" s="2"/>
      <c r="M103" s="2">
        <v>17141511</v>
      </c>
      <c r="N103" s="2"/>
      <c r="O103" s="2">
        <v>0</v>
      </c>
      <c r="P103" s="2"/>
      <c r="Q103" s="2">
        <v>0</v>
      </c>
      <c r="R103" s="2"/>
      <c r="S103" s="2">
        <v>15000</v>
      </c>
      <c r="T103" s="2"/>
      <c r="U103" s="2">
        <f>5895582+52423+318144</f>
        <v>6266149</v>
      </c>
      <c r="V103" s="2"/>
      <c r="W103" s="30">
        <f t="shared" si="5"/>
        <v>25884336</v>
      </c>
      <c r="X103" s="2"/>
      <c r="Y103" s="2">
        <v>0</v>
      </c>
      <c r="Z103" s="2"/>
      <c r="AA103" s="2">
        <v>0</v>
      </c>
      <c r="AB103" s="2"/>
      <c r="AC103" s="19" t="s">
        <v>221</v>
      </c>
      <c r="AD103" s="19"/>
      <c r="AE103" s="19" t="s">
        <v>222</v>
      </c>
      <c r="AF103" s="2"/>
      <c r="AG103" s="2">
        <v>0</v>
      </c>
      <c r="AH103" s="2"/>
      <c r="AI103" s="2">
        <v>0</v>
      </c>
      <c r="AJ103" s="2"/>
      <c r="AK103" s="2">
        <v>0</v>
      </c>
      <c r="AL103" s="2"/>
      <c r="AM103" s="2">
        <v>0</v>
      </c>
      <c r="AN103" s="2"/>
      <c r="AO103" s="2">
        <v>0</v>
      </c>
      <c r="AP103" s="2"/>
      <c r="AQ103" s="2">
        <v>0</v>
      </c>
      <c r="AR103" s="2"/>
      <c r="AS103" s="2">
        <v>0</v>
      </c>
      <c r="AT103" s="2"/>
      <c r="AU103" s="2">
        <f t="shared" si="6"/>
        <v>0</v>
      </c>
      <c r="AV103" s="2"/>
      <c r="AW103" s="2">
        <f t="shared" si="7"/>
        <v>25884336</v>
      </c>
    </row>
    <row r="104" spans="1:51" s="96" customFormat="1">
      <c r="A104" s="19" t="s">
        <v>223</v>
      </c>
      <c r="B104" s="19"/>
      <c r="C104" s="19" t="s">
        <v>224</v>
      </c>
      <c r="E104" s="19">
        <v>125252</v>
      </c>
      <c r="G104" s="2">
        <v>0</v>
      </c>
      <c r="H104" s="2"/>
      <c r="I104" s="2">
        <f>1210777+275559</f>
        <v>1486336</v>
      </c>
      <c r="J104" s="2"/>
      <c r="K104" s="2">
        <v>63248</v>
      </c>
      <c r="L104" s="2"/>
      <c r="M104" s="2">
        <v>3684887</v>
      </c>
      <c r="N104" s="2"/>
      <c r="O104" s="2">
        <v>13215</v>
      </c>
      <c r="P104" s="2"/>
      <c r="Q104" s="2">
        <v>0</v>
      </c>
      <c r="R104" s="2"/>
      <c r="S104" s="2">
        <v>0</v>
      </c>
      <c r="T104" s="2"/>
      <c r="U104" s="2">
        <f>347647+3482899</f>
        <v>3830546</v>
      </c>
      <c r="V104" s="2"/>
      <c r="W104" s="30">
        <f t="shared" si="5"/>
        <v>9078232</v>
      </c>
      <c r="X104" s="2"/>
      <c r="Y104" s="2">
        <v>0</v>
      </c>
      <c r="Z104" s="2"/>
      <c r="AA104" s="2">
        <v>0</v>
      </c>
      <c r="AB104" s="2"/>
      <c r="AC104" s="19" t="s">
        <v>223</v>
      </c>
      <c r="AD104" s="19"/>
      <c r="AE104" s="19" t="s">
        <v>224</v>
      </c>
      <c r="AF104" s="2"/>
      <c r="AG104" s="2">
        <v>0</v>
      </c>
      <c r="AH104" s="2"/>
      <c r="AI104" s="2">
        <v>0</v>
      </c>
      <c r="AJ104" s="2"/>
      <c r="AK104" s="2">
        <v>0</v>
      </c>
      <c r="AL104" s="2"/>
      <c r="AM104" s="2">
        <v>0</v>
      </c>
      <c r="AN104" s="2"/>
      <c r="AO104" s="2">
        <v>0</v>
      </c>
      <c r="AP104" s="2"/>
      <c r="AQ104" s="2">
        <v>0</v>
      </c>
      <c r="AR104" s="2"/>
      <c r="AS104" s="2">
        <v>0</v>
      </c>
      <c r="AT104" s="2"/>
      <c r="AU104" s="2">
        <f t="shared" si="6"/>
        <v>0</v>
      </c>
      <c r="AV104" s="2"/>
      <c r="AW104" s="2">
        <f t="shared" si="7"/>
        <v>9078232</v>
      </c>
    </row>
    <row r="105" spans="1:51">
      <c r="A105" s="19" t="s">
        <v>374</v>
      </c>
      <c r="B105" s="19"/>
      <c r="C105" s="19" t="s">
        <v>244</v>
      </c>
      <c r="E105" s="19">
        <v>123257</v>
      </c>
      <c r="G105" s="2">
        <v>0</v>
      </c>
      <c r="H105" s="2"/>
      <c r="I105" s="2">
        <f>3163800+38102</f>
        <v>3201902</v>
      </c>
      <c r="J105" s="2"/>
      <c r="K105" s="2">
        <v>13905</v>
      </c>
      <c r="L105" s="2"/>
      <c r="M105" s="2">
        <v>6104965</v>
      </c>
      <c r="N105" s="2"/>
      <c r="O105" s="2">
        <v>0</v>
      </c>
      <c r="P105" s="2"/>
      <c r="Q105" s="2">
        <v>0</v>
      </c>
      <c r="R105" s="2"/>
      <c r="S105" s="2">
        <v>8459</v>
      </c>
      <c r="T105" s="2"/>
      <c r="U105" s="2">
        <f>50812+888582+3956242</f>
        <v>4895636</v>
      </c>
      <c r="V105" s="2"/>
      <c r="W105" s="30">
        <f t="shared" ref="W105" si="8">SUM(G105:V105)</f>
        <v>14224867</v>
      </c>
      <c r="X105" s="2"/>
      <c r="Y105" s="2">
        <v>0</v>
      </c>
      <c r="Z105" s="2"/>
      <c r="AA105" s="2">
        <v>0</v>
      </c>
      <c r="AB105" s="2"/>
      <c r="AC105" s="19" t="s">
        <v>243</v>
      </c>
      <c r="AD105" s="19"/>
      <c r="AE105" s="19" t="s">
        <v>244</v>
      </c>
      <c r="AF105" s="2"/>
      <c r="AG105" s="2">
        <v>0</v>
      </c>
      <c r="AH105" s="2"/>
      <c r="AI105" s="2">
        <v>0</v>
      </c>
      <c r="AJ105" s="2"/>
      <c r="AK105" s="2">
        <v>0</v>
      </c>
      <c r="AL105" s="2"/>
      <c r="AM105" s="2">
        <v>0</v>
      </c>
      <c r="AN105" s="2"/>
      <c r="AO105" s="2">
        <v>0</v>
      </c>
      <c r="AP105" s="2"/>
      <c r="AQ105" s="2">
        <v>0</v>
      </c>
      <c r="AR105" s="2"/>
      <c r="AS105" s="2">
        <v>0</v>
      </c>
      <c r="AT105" s="2"/>
      <c r="AU105" s="2">
        <f t="shared" ref="AU105" si="9">SUM(Y105:AS105)</f>
        <v>0</v>
      </c>
      <c r="AV105" s="2"/>
      <c r="AW105" s="2">
        <f t="shared" si="7"/>
        <v>14224867</v>
      </c>
    </row>
    <row r="106" spans="1:51" hidden="1">
      <c r="A106" s="19" t="s">
        <v>413</v>
      </c>
      <c r="B106" s="19"/>
      <c r="C106" s="19" t="s">
        <v>183</v>
      </c>
      <c r="E106" s="1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0"/>
      <c r="X106" s="2"/>
      <c r="Y106" s="2"/>
      <c r="Z106" s="2"/>
      <c r="AA106" s="2"/>
      <c r="AB106" s="2"/>
      <c r="AC106" s="19"/>
      <c r="AD106" s="19"/>
      <c r="AE106" s="19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51" hidden="1">
      <c r="A107" s="19" t="s">
        <v>187</v>
      </c>
      <c r="B107" s="19"/>
      <c r="C107" s="2" t="s">
        <v>275</v>
      </c>
      <c r="E107" s="19">
        <v>124297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0">
        <f t="shared" si="5"/>
        <v>0</v>
      </c>
      <c r="X107" s="2"/>
      <c r="Y107" s="2">
        <v>0</v>
      </c>
      <c r="Z107" s="2"/>
      <c r="AA107" s="2">
        <v>0</v>
      </c>
      <c r="AB107" s="2"/>
      <c r="AC107" s="19" t="s">
        <v>187</v>
      </c>
      <c r="AD107" s="19"/>
      <c r="AE107" s="2" t="s">
        <v>275</v>
      </c>
      <c r="AF107" s="2"/>
      <c r="AG107" s="2">
        <v>0</v>
      </c>
      <c r="AH107" s="2"/>
      <c r="AI107" s="2">
        <v>0</v>
      </c>
      <c r="AJ107" s="2"/>
      <c r="AK107" s="2">
        <v>0</v>
      </c>
      <c r="AL107" s="2"/>
      <c r="AM107" s="2">
        <v>0</v>
      </c>
      <c r="AN107" s="2"/>
      <c r="AO107" s="2">
        <v>0</v>
      </c>
      <c r="AP107" s="2"/>
      <c r="AQ107" s="2">
        <v>0</v>
      </c>
      <c r="AR107" s="2"/>
      <c r="AS107" s="2">
        <v>0</v>
      </c>
      <c r="AT107" s="2"/>
      <c r="AU107" s="2">
        <f t="shared" si="6"/>
        <v>0</v>
      </c>
      <c r="AV107" s="2"/>
      <c r="AW107" s="2">
        <f t="shared" si="7"/>
        <v>0</v>
      </c>
    </row>
    <row r="108" spans="1:51" hidden="1">
      <c r="A108" s="19" t="s">
        <v>354</v>
      </c>
      <c r="B108" s="19"/>
      <c r="C108" s="2" t="s">
        <v>363</v>
      </c>
      <c r="E108" s="19">
        <v>123521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0">
        <f t="shared" si="5"/>
        <v>0</v>
      </c>
      <c r="X108" s="2"/>
      <c r="Y108" s="2">
        <v>0</v>
      </c>
      <c r="Z108" s="2"/>
      <c r="AA108" s="2">
        <v>0</v>
      </c>
      <c r="AB108" s="2"/>
      <c r="AC108" s="19" t="s">
        <v>354</v>
      </c>
      <c r="AD108" s="19"/>
      <c r="AE108" s="2" t="s">
        <v>363</v>
      </c>
      <c r="AF108" s="2"/>
      <c r="AG108" s="2">
        <v>0</v>
      </c>
      <c r="AH108" s="2"/>
      <c r="AI108" s="2">
        <v>0</v>
      </c>
      <c r="AJ108" s="2"/>
      <c r="AK108" s="2">
        <v>0</v>
      </c>
      <c r="AL108" s="2"/>
      <c r="AM108" s="2">
        <v>0</v>
      </c>
      <c r="AN108" s="2"/>
      <c r="AO108" s="2">
        <v>0</v>
      </c>
      <c r="AP108" s="2"/>
      <c r="AQ108" s="2">
        <v>0</v>
      </c>
      <c r="AR108" s="2"/>
      <c r="AS108" s="2">
        <v>0</v>
      </c>
      <c r="AT108" s="2"/>
      <c r="AU108" s="2">
        <f t="shared" si="6"/>
        <v>0</v>
      </c>
      <c r="AV108" s="2"/>
      <c r="AW108" s="2">
        <f t="shared" si="7"/>
        <v>0</v>
      </c>
    </row>
    <row r="109" spans="1:51" s="96" customFormat="1">
      <c r="A109" s="19" t="s">
        <v>225</v>
      </c>
      <c r="B109" s="19"/>
      <c r="C109" s="19" t="s">
        <v>226</v>
      </c>
      <c r="E109" s="19">
        <v>125674</v>
      </c>
      <c r="G109" s="2">
        <v>0</v>
      </c>
      <c r="H109" s="2"/>
      <c r="I109" s="2">
        <v>632232</v>
      </c>
      <c r="J109" s="2"/>
      <c r="K109" s="2">
        <v>9010</v>
      </c>
      <c r="L109" s="2"/>
      <c r="M109" s="2">
        <v>948319</v>
      </c>
      <c r="N109" s="2"/>
      <c r="O109" s="2">
        <v>0</v>
      </c>
      <c r="P109" s="2"/>
      <c r="Q109" s="2">
        <v>0</v>
      </c>
      <c r="R109" s="2"/>
      <c r="S109" s="2">
        <v>0</v>
      </c>
      <c r="T109" s="2"/>
      <c r="U109" s="2">
        <f>7051+3029036</f>
        <v>3036087</v>
      </c>
      <c r="V109" s="2"/>
      <c r="W109" s="30">
        <f t="shared" si="5"/>
        <v>4625648</v>
      </c>
      <c r="X109" s="2"/>
      <c r="Y109" s="2">
        <v>0</v>
      </c>
      <c r="Z109" s="2"/>
      <c r="AA109" s="2">
        <v>0</v>
      </c>
      <c r="AB109" s="2"/>
      <c r="AC109" s="19" t="s">
        <v>225</v>
      </c>
      <c r="AD109" s="19"/>
      <c r="AE109" s="19" t="s">
        <v>226</v>
      </c>
      <c r="AF109" s="2"/>
      <c r="AG109" s="2">
        <v>0</v>
      </c>
      <c r="AH109" s="2"/>
      <c r="AI109" s="2">
        <v>0</v>
      </c>
      <c r="AJ109" s="2"/>
      <c r="AK109" s="2">
        <v>0</v>
      </c>
      <c r="AL109" s="2"/>
      <c r="AM109" s="2">
        <v>0</v>
      </c>
      <c r="AN109" s="2"/>
      <c r="AO109" s="2">
        <v>0</v>
      </c>
      <c r="AP109" s="2"/>
      <c r="AQ109" s="2">
        <v>0</v>
      </c>
      <c r="AR109" s="2"/>
      <c r="AS109" s="2">
        <v>0</v>
      </c>
      <c r="AT109" s="2"/>
      <c r="AU109" s="2">
        <f t="shared" si="6"/>
        <v>0</v>
      </c>
      <c r="AV109" s="2"/>
      <c r="AW109" s="2">
        <f t="shared" si="7"/>
        <v>4625648</v>
      </c>
      <c r="AY109" s="13"/>
    </row>
    <row r="110" spans="1:51" s="96" customFormat="1">
      <c r="A110" s="19" t="s">
        <v>227</v>
      </c>
      <c r="B110" s="19"/>
      <c r="C110" s="19" t="s">
        <v>228</v>
      </c>
      <c r="E110" s="19">
        <v>49072</v>
      </c>
      <c r="G110" s="2">
        <v>0</v>
      </c>
      <c r="H110" s="2"/>
      <c r="I110" s="2">
        <v>647206</v>
      </c>
      <c r="J110" s="2"/>
      <c r="K110" s="2">
        <v>3073</v>
      </c>
      <c r="L110" s="2"/>
      <c r="M110" s="2">
        <v>2121429</v>
      </c>
      <c r="N110" s="2"/>
      <c r="O110" s="2">
        <v>0</v>
      </c>
      <c r="P110" s="2"/>
      <c r="Q110" s="2">
        <v>0</v>
      </c>
      <c r="R110" s="2"/>
      <c r="S110" s="2">
        <v>0</v>
      </c>
      <c r="T110" s="2"/>
      <c r="U110" s="2">
        <f>62865+200+22760</f>
        <v>85825</v>
      </c>
      <c r="V110" s="2"/>
      <c r="W110" s="30">
        <f t="shared" si="5"/>
        <v>2857533</v>
      </c>
      <c r="X110" s="2"/>
      <c r="Y110" s="2">
        <v>0</v>
      </c>
      <c r="Z110" s="2"/>
      <c r="AA110" s="2">
        <v>0</v>
      </c>
      <c r="AB110" s="2"/>
      <c r="AC110" s="19" t="s">
        <v>227</v>
      </c>
      <c r="AD110" s="19"/>
      <c r="AE110" s="19" t="s">
        <v>228</v>
      </c>
      <c r="AF110" s="2"/>
      <c r="AG110" s="2">
        <v>0</v>
      </c>
      <c r="AH110" s="2"/>
      <c r="AI110" s="2">
        <v>0</v>
      </c>
      <c r="AJ110" s="2"/>
      <c r="AK110" s="2">
        <v>0</v>
      </c>
      <c r="AL110" s="2"/>
      <c r="AM110" s="2">
        <v>0</v>
      </c>
      <c r="AN110" s="2"/>
      <c r="AO110" s="2">
        <v>0</v>
      </c>
      <c r="AP110" s="2"/>
      <c r="AQ110" s="2">
        <v>0</v>
      </c>
      <c r="AR110" s="2"/>
      <c r="AS110" s="2">
        <v>0</v>
      </c>
      <c r="AT110" s="2"/>
      <c r="AU110" s="2">
        <f t="shared" si="6"/>
        <v>0</v>
      </c>
      <c r="AV110" s="2"/>
      <c r="AW110" s="2">
        <f t="shared" si="7"/>
        <v>2857533</v>
      </c>
    </row>
    <row r="111" spans="1:51" s="96" customFormat="1">
      <c r="A111" s="19" t="s">
        <v>229</v>
      </c>
      <c r="B111" s="19"/>
      <c r="C111" s="19" t="s">
        <v>230</v>
      </c>
      <c r="E111" s="19">
        <v>49163</v>
      </c>
      <c r="G111" s="2">
        <v>0</v>
      </c>
      <c r="H111" s="2"/>
      <c r="I111" s="2">
        <v>1177423</v>
      </c>
      <c r="J111" s="2"/>
      <c r="K111" s="2">
        <v>4744</v>
      </c>
      <c r="L111" s="2"/>
      <c r="M111" s="2">
        <v>4867999</v>
      </c>
      <c r="N111" s="2"/>
      <c r="O111" s="2">
        <v>0</v>
      </c>
      <c r="P111" s="2"/>
      <c r="Q111" s="2">
        <v>0</v>
      </c>
      <c r="R111" s="2"/>
      <c r="S111" s="2">
        <v>971</v>
      </c>
      <c r="T111" s="2"/>
      <c r="U111" s="2">
        <v>206405</v>
      </c>
      <c r="V111" s="2"/>
      <c r="W111" s="30">
        <f t="shared" si="5"/>
        <v>6257542</v>
      </c>
      <c r="X111" s="2"/>
      <c r="Y111" s="2">
        <v>0</v>
      </c>
      <c r="Z111" s="2"/>
      <c r="AA111" s="2">
        <v>0</v>
      </c>
      <c r="AB111" s="2"/>
      <c r="AC111" s="19" t="s">
        <v>229</v>
      </c>
      <c r="AD111" s="19"/>
      <c r="AE111" s="19" t="s">
        <v>230</v>
      </c>
      <c r="AF111" s="2"/>
      <c r="AG111" s="2">
        <v>0</v>
      </c>
      <c r="AH111" s="2"/>
      <c r="AI111" s="2">
        <v>0</v>
      </c>
      <c r="AJ111" s="2"/>
      <c r="AK111" s="2">
        <v>0</v>
      </c>
      <c r="AL111" s="2"/>
      <c r="AM111" s="2">
        <v>0</v>
      </c>
      <c r="AN111" s="2"/>
      <c r="AO111" s="2">
        <v>0</v>
      </c>
      <c r="AP111" s="2"/>
      <c r="AQ111" s="2">
        <v>0</v>
      </c>
      <c r="AR111" s="2"/>
      <c r="AS111" s="2">
        <v>0</v>
      </c>
      <c r="AT111" s="2"/>
      <c r="AU111" s="2">
        <f t="shared" si="6"/>
        <v>0</v>
      </c>
      <c r="AV111" s="2"/>
      <c r="AW111" s="2">
        <f t="shared" si="7"/>
        <v>6257542</v>
      </c>
    </row>
    <row r="112" spans="1:51" s="96" customFormat="1" hidden="1">
      <c r="A112" s="19" t="s">
        <v>421</v>
      </c>
      <c r="B112" s="19"/>
      <c r="C112" s="19" t="s">
        <v>232</v>
      </c>
      <c r="E112" s="19">
        <v>49254</v>
      </c>
      <c r="G112" s="2"/>
      <c r="H112" s="2"/>
      <c r="I112" s="2">
        <v>912040</v>
      </c>
      <c r="J112" s="2"/>
      <c r="K112" s="2">
        <v>5731</v>
      </c>
      <c r="L112" s="2"/>
      <c r="M112" s="2">
        <v>3683932</v>
      </c>
      <c r="N112" s="2"/>
      <c r="O112" s="2"/>
      <c r="P112" s="2"/>
      <c r="Q112" s="2"/>
      <c r="R112" s="2"/>
      <c r="S112" s="2">
        <v>903</v>
      </c>
      <c r="T112" s="2"/>
      <c r="U112" s="2">
        <f>96598+29242+23315</f>
        <v>149155</v>
      </c>
      <c r="V112" s="2"/>
      <c r="W112" s="30">
        <f t="shared" si="5"/>
        <v>4751761</v>
      </c>
      <c r="X112" s="2"/>
      <c r="Y112" s="2">
        <v>0</v>
      </c>
      <c r="Z112" s="2"/>
      <c r="AA112" s="2">
        <v>0</v>
      </c>
      <c r="AB112" s="2"/>
      <c r="AC112" s="19" t="s">
        <v>231</v>
      </c>
      <c r="AD112" s="19"/>
      <c r="AE112" s="19" t="s">
        <v>232</v>
      </c>
      <c r="AF112" s="2"/>
      <c r="AG112" s="2">
        <v>0</v>
      </c>
      <c r="AH112" s="2"/>
      <c r="AI112" s="2">
        <v>0</v>
      </c>
      <c r="AJ112" s="2"/>
      <c r="AK112" s="2">
        <v>0</v>
      </c>
      <c r="AL112" s="2"/>
      <c r="AM112" s="2">
        <v>0</v>
      </c>
      <c r="AN112" s="2"/>
      <c r="AO112" s="2">
        <v>0</v>
      </c>
      <c r="AP112" s="2"/>
      <c r="AQ112" s="2">
        <v>0</v>
      </c>
      <c r="AR112" s="2"/>
      <c r="AS112" s="2">
        <v>0</v>
      </c>
      <c r="AT112" s="2"/>
      <c r="AU112" s="2">
        <f t="shared" si="6"/>
        <v>0</v>
      </c>
      <c r="AV112" s="2"/>
      <c r="AW112" s="2">
        <f t="shared" si="7"/>
        <v>4751761</v>
      </c>
      <c r="AY112" s="96" t="s">
        <v>373</v>
      </c>
    </row>
    <row r="113" spans="1:51" s="96" customFormat="1">
      <c r="A113" s="19" t="s">
        <v>233</v>
      </c>
      <c r="B113" s="19"/>
      <c r="C113" s="19" t="s">
        <v>234</v>
      </c>
      <c r="E113" s="19">
        <v>49304</v>
      </c>
      <c r="G113" s="2">
        <v>0</v>
      </c>
      <c r="H113" s="2"/>
      <c r="I113" s="2">
        <f>80000+777174</f>
        <v>857174</v>
      </c>
      <c r="J113" s="2"/>
      <c r="K113" s="2">
        <v>26275</v>
      </c>
      <c r="L113" s="2"/>
      <c r="M113" s="2">
        <v>1983407</v>
      </c>
      <c r="N113" s="2"/>
      <c r="O113" s="2">
        <v>0</v>
      </c>
      <c r="P113" s="2"/>
      <c r="Q113" s="2">
        <v>0</v>
      </c>
      <c r="R113" s="2"/>
      <c r="S113" s="2">
        <v>0</v>
      </c>
      <c r="T113" s="2"/>
      <c r="U113" s="2">
        <f>15995+187403+77037</f>
        <v>280435</v>
      </c>
      <c r="V113" s="2"/>
      <c r="W113" s="30">
        <f t="shared" si="5"/>
        <v>3147291</v>
      </c>
      <c r="X113" s="2"/>
      <c r="Y113" s="2">
        <v>0</v>
      </c>
      <c r="Z113" s="2"/>
      <c r="AA113" s="2">
        <v>0</v>
      </c>
      <c r="AB113" s="2"/>
      <c r="AC113" s="19" t="s">
        <v>233</v>
      </c>
      <c r="AD113" s="19"/>
      <c r="AE113" s="19" t="s">
        <v>234</v>
      </c>
      <c r="AF113" s="2"/>
      <c r="AG113" s="2">
        <v>0</v>
      </c>
      <c r="AH113" s="2"/>
      <c r="AI113" s="2">
        <v>0</v>
      </c>
      <c r="AJ113" s="2"/>
      <c r="AK113" s="2">
        <v>0</v>
      </c>
      <c r="AL113" s="2"/>
      <c r="AM113" s="2">
        <v>0</v>
      </c>
      <c r="AN113" s="2"/>
      <c r="AO113" s="2">
        <v>0</v>
      </c>
      <c r="AP113" s="2"/>
      <c r="AQ113" s="2">
        <v>0</v>
      </c>
      <c r="AR113" s="2"/>
      <c r="AS113" s="2">
        <v>0</v>
      </c>
      <c r="AT113" s="2"/>
      <c r="AU113" s="2">
        <f t="shared" si="6"/>
        <v>0</v>
      </c>
      <c r="AV113" s="2"/>
      <c r="AW113" s="2">
        <f t="shared" si="7"/>
        <v>3147291</v>
      </c>
    </row>
    <row r="114" spans="1:51">
      <c r="A114" s="19" t="s">
        <v>237</v>
      </c>
      <c r="B114" s="19"/>
      <c r="C114" s="19" t="s">
        <v>238</v>
      </c>
      <c r="E114" s="19">
        <v>138222</v>
      </c>
      <c r="G114" s="2">
        <v>0</v>
      </c>
      <c r="H114" s="2"/>
      <c r="I114" s="2">
        <f>1501898+59599</f>
        <v>1561497</v>
      </c>
      <c r="J114" s="2"/>
      <c r="K114" s="2">
        <v>77734</v>
      </c>
      <c r="L114" s="2"/>
      <c r="M114" s="2">
        <v>4742225</v>
      </c>
      <c r="N114" s="2"/>
      <c r="O114" s="2">
        <v>0</v>
      </c>
      <c r="P114" s="2"/>
      <c r="Q114" s="2">
        <v>0</v>
      </c>
      <c r="R114" s="2"/>
      <c r="S114" s="2">
        <v>1990</v>
      </c>
      <c r="T114" s="2"/>
      <c r="U114" s="2">
        <f>75008+466253</f>
        <v>541261</v>
      </c>
      <c r="V114" s="2"/>
      <c r="W114" s="30">
        <f t="shared" si="5"/>
        <v>6924707</v>
      </c>
      <c r="X114" s="2"/>
      <c r="Y114" s="2">
        <v>0</v>
      </c>
      <c r="Z114" s="2"/>
      <c r="AA114" s="2">
        <v>0</v>
      </c>
      <c r="AB114" s="2"/>
      <c r="AC114" s="19" t="s">
        <v>237</v>
      </c>
      <c r="AD114" s="19"/>
      <c r="AE114" s="19" t="s">
        <v>238</v>
      </c>
      <c r="AF114" s="2"/>
      <c r="AG114" s="2">
        <v>0</v>
      </c>
      <c r="AH114" s="2"/>
      <c r="AI114" s="2">
        <v>0</v>
      </c>
      <c r="AJ114" s="2"/>
      <c r="AK114" s="2">
        <v>0</v>
      </c>
      <c r="AL114" s="2"/>
      <c r="AM114" s="2">
        <v>100</v>
      </c>
      <c r="AN114" s="2"/>
      <c r="AO114" s="2">
        <v>0</v>
      </c>
      <c r="AP114" s="2"/>
      <c r="AQ114" s="2">
        <v>0</v>
      </c>
      <c r="AR114" s="2"/>
      <c r="AS114" s="2">
        <v>0</v>
      </c>
      <c r="AT114" s="2"/>
      <c r="AU114" s="2">
        <f t="shared" si="6"/>
        <v>100</v>
      </c>
      <c r="AV114" s="2"/>
      <c r="AW114" s="2">
        <f t="shared" si="7"/>
        <v>6924807</v>
      </c>
    </row>
    <row r="115" spans="1:51" hidden="1">
      <c r="A115" s="71" t="s">
        <v>239</v>
      </c>
      <c r="B115" s="19"/>
      <c r="C115" s="19" t="s">
        <v>240</v>
      </c>
      <c r="E115" s="19">
        <v>49551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0">
        <f t="shared" si="5"/>
        <v>0</v>
      </c>
      <c r="X115" s="2"/>
      <c r="Y115" s="2">
        <v>0</v>
      </c>
      <c r="Z115" s="2"/>
      <c r="AA115" s="2">
        <v>0</v>
      </c>
      <c r="AB115" s="2"/>
      <c r="AC115" s="19" t="s">
        <v>239</v>
      </c>
      <c r="AD115" s="19"/>
      <c r="AE115" s="19" t="s">
        <v>240</v>
      </c>
      <c r="AF115" s="2"/>
      <c r="AG115" s="2">
        <v>0</v>
      </c>
      <c r="AH115" s="2"/>
      <c r="AI115" s="2">
        <v>0</v>
      </c>
      <c r="AJ115" s="2"/>
      <c r="AK115" s="2">
        <v>0</v>
      </c>
      <c r="AL115" s="2"/>
      <c r="AM115" s="2">
        <v>0</v>
      </c>
      <c r="AN115" s="2"/>
      <c r="AO115" s="2">
        <v>0</v>
      </c>
      <c r="AP115" s="2"/>
      <c r="AQ115" s="2">
        <v>0</v>
      </c>
      <c r="AR115" s="2"/>
      <c r="AS115" s="2">
        <v>0</v>
      </c>
      <c r="AT115" s="2"/>
      <c r="AU115" s="2">
        <f t="shared" si="6"/>
        <v>0</v>
      </c>
      <c r="AV115" s="2"/>
      <c r="AW115" s="2">
        <f t="shared" si="7"/>
        <v>0</v>
      </c>
      <c r="AY115" s="17" t="s">
        <v>425</v>
      </c>
    </row>
    <row r="116" spans="1:51" s="96" customFormat="1">
      <c r="A116" s="19" t="s">
        <v>245</v>
      </c>
      <c r="B116" s="19"/>
      <c r="C116" s="19" t="s">
        <v>246</v>
      </c>
      <c r="E116" s="19">
        <v>49742</v>
      </c>
      <c r="G116" s="2">
        <v>0</v>
      </c>
      <c r="H116" s="2"/>
      <c r="I116" s="2">
        <f>375591+2654</f>
        <v>378245</v>
      </c>
      <c r="J116" s="2"/>
      <c r="K116" s="2">
        <v>15785</v>
      </c>
      <c r="L116" s="2"/>
      <c r="M116" s="2">
        <v>0</v>
      </c>
      <c r="N116" s="2"/>
      <c r="O116" s="2">
        <v>0</v>
      </c>
      <c r="P116" s="2"/>
      <c r="Q116" s="2">
        <v>0</v>
      </c>
      <c r="R116" s="2"/>
      <c r="S116" s="2">
        <v>0</v>
      </c>
      <c r="T116" s="2"/>
      <c r="U116" s="2">
        <f>3075501+38691</f>
        <v>3114192</v>
      </c>
      <c r="V116" s="2"/>
      <c r="W116" s="30">
        <f t="shared" si="5"/>
        <v>3508222</v>
      </c>
      <c r="X116" s="2"/>
      <c r="Y116" s="2">
        <v>0</v>
      </c>
      <c r="Z116" s="2"/>
      <c r="AA116" s="2">
        <v>0</v>
      </c>
      <c r="AB116" s="2"/>
      <c r="AC116" s="19" t="s">
        <v>245</v>
      </c>
      <c r="AD116" s="19"/>
      <c r="AE116" s="19" t="s">
        <v>246</v>
      </c>
      <c r="AF116" s="2"/>
      <c r="AG116" s="2">
        <v>0</v>
      </c>
      <c r="AH116" s="2"/>
      <c r="AI116" s="2">
        <v>0</v>
      </c>
      <c r="AJ116" s="2"/>
      <c r="AK116" s="2">
        <v>0</v>
      </c>
      <c r="AL116" s="2"/>
      <c r="AM116" s="2">
        <v>0</v>
      </c>
      <c r="AN116" s="2"/>
      <c r="AO116" s="2">
        <v>0</v>
      </c>
      <c r="AP116" s="2"/>
      <c r="AQ116" s="2">
        <v>0</v>
      </c>
      <c r="AR116" s="2"/>
      <c r="AS116" s="2">
        <v>0</v>
      </c>
      <c r="AT116" s="2"/>
      <c r="AU116" s="2">
        <f t="shared" si="6"/>
        <v>0</v>
      </c>
      <c r="AV116" s="2"/>
      <c r="AW116" s="2">
        <f t="shared" si="7"/>
        <v>3508222</v>
      </c>
    </row>
    <row r="117" spans="1:51" s="96" customFormat="1">
      <c r="A117" s="19" t="s">
        <v>371</v>
      </c>
      <c r="B117" s="19"/>
      <c r="C117" s="19" t="s">
        <v>242</v>
      </c>
      <c r="E117" s="19">
        <v>125658</v>
      </c>
      <c r="G117" s="2">
        <v>0</v>
      </c>
      <c r="H117" s="2"/>
      <c r="I117" s="2">
        <v>1181532</v>
      </c>
      <c r="J117" s="2"/>
      <c r="K117" s="2">
        <v>3759</v>
      </c>
      <c r="L117" s="2"/>
      <c r="M117" s="2">
        <v>5238863</v>
      </c>
      <c r="N117" s="2"/>
      <c r="O117" s="2">
        <v>0</v>
      </c>
      <c r="P117" s="2"/>
      <c r="Q117" s="2">
        <v>0</v>
      </c>
      <c r="R117" s="2"/>
      <c r="S117" s="2">
        <v>23200</v>
      </c>
      <c r="T117" s="2"/>
      <c r="U117" s="2">
        <f>1251+872476</f>
        <v>873727</v>
      </c>
      <c r="V117" s="2"/>
      <c r="W117" s="30">
        <f t="shared" si="5"/>
        <v>7321081</v>
      </c>
      <c r="X117" s="2"/>
      <c r="Y117" s="2">
        <v>231537</v>
      </c>
      <c r="Z117" s="2"/>
      <c r="AA117" s="2">
        <v>0</v>
      </c>
      <c r="AB117" s="2"/>
      <c r="AC117" s="19" t="s">
        <v>241</v>
      </c>
      <c r="AD117" s="19"/>
      <c r="AE117" s="19" t="s">
        <v>242</v>
      </c>
      <c r="AF117" s="2"/>
      <c r="AG117" s="2">
        <v>0</v>
      </c>
      <c r="AH117" s="2"/>
      <c r="AI117" s="2">
        <v>0</v>
      </c>
      <c r="AJ117" s="2"/>
      <c r="AK117" s="2">
        <v>0</v>
      </c>
      <c r="AL117" s="2"/>
      <c r="AM117" s="2">
        <v>0</v>
      </c>
      <c r="AN117" s="2"/>
      <c r="AO117" s="2">
        <v>0</v>
      </c>
      <c r="AP117" s="2"/>
      <c r="AQ117" s="2">
        <v>0</v>
      </c>
      <c r="AR117" s="2"/>
      <c r="AS117" s="2">
        <v>0</v>
      </c>
      <c r="AT117" s="2"/>
      <c r="AU117" s="2">
        <f t="shared" si="6"/>
        <v>231537</v>
      </c>
      <c r="AV117" s="2"/>
      <c r="AW117" s="2">
        <f t="shared" si="7"/>
        <v>7552618</v>
      </c>
    </row>
    <row r="118" spans="1:51" s="96" customFormat="1">
      <c r="A118" s="2" t="s">
        <v>370</v>
      </c>
      <c r="B118" s="2"/>
      <c r="C118" s="2" t="s">
        <v>173</v>
      </c>
      <c r="E118" s="19"/>
      <c r="G118" s="2">
        <v>0</v>
      </c>
      <c r="H118" s="2"/>
      <c r="I118" s="2">
        <v>1182986</v>
      </c>
      <c r="J118" s="2"/>
      <c r="K118" s="2">
        <v>161421</v>
      </c>
      <c r="L118" s="2"/>
      <c r="M118" s="2">
        <f>2175821+280707</f>
        <v>2456528</v>
      </c>
      <c r="N118" s="2"/>
      <c r="O118" s="2">
        <v>0</v>
      </c>
      <c r="P118" s="2"/>
      <c r="Q118" s="2">
        <v>0</v>
      </c>
      <c r="R118" s="2"/>
      <c r="S118" s="2">
        <v>0</v>
      </c>
      <c r="T118" s="2"/>
      <c r="U118" s="2">
        <v>45072</v>
      </c>
      <c r="V118" s="2"/>
      <c r="W118" s="30">
        <f>SUM(G118:V118)</f>
        <v>3846007</v>
      </c>
      <c r="X118" s="2"/>
      <c r="Y118" s="2">
        <v>0</v>
      </c>
      <c r="Z118" s="2"/>
      <c r="AA118" s="2">
        <v>0</v>
      </c>
      <c r="AB118" s="2"/>
      <c r="AC118" s="2" t="s">
        <v>370</v>
      </c>
      <c r="AD118" s="2"/>
      <c r="AE118" s="2" t="s">
        <v>173</v>
      </c>
      <c r="AF118" s="2"/>
      <c r="AG118" s="2">
        <v>0</v>
      </c>
      <c r="AH118" s="2"/>
      <c r="AI118" s="2">
        <v>0</v>
      </c>
      <c r="AJ118" s="2"/>
      <c r="AK118" s="2">
        <v>0</v>
      </c>
      <c r="AL118" s="2"/>
      <c r="AM118" s="2">
        <v>5660</v>
      </c>
      <c r="AN118" s="2"/>
      <c r="AO118" s="2">
        <v>0</v>
      </c>
      <c r="AP118" s="2"/>
      <c r="AQ118" s="2">
        <v>0</v>
      </c>
      <c r="AR118" s="2"/>
      <c r="AS118" s="2">
        <v>0</v>
      </c>
      <c r="AT118" s="2"/>
      <c r="AU118" s="2">
        <f>SUM(Y118:AS118)</f>
        <v>5660</v>
      </c>
      <c r="AV118" s="2"/>
      <c r="AW118" s="2">
        <f t="shared" si="7"/>
        <v>3851667</v>
      </c>
      <c r="AY118" s="80" t="s">
        <v>411</v>
      </c>
    </row>
    <row r="119" spans="1:51" s="96" customFormat="1">
      <c r="A119" s="19" t="s">
        <v>431</v>
      </c>
      <c r="B119" s="19"/>
      <c r="C119" s="19" t="s">
        <v>248</v>
      </c>
      <c r="E119" s="19">
        <v>49825</v>
      </c>
      <c r="G119" s="2">
        <v>0</v>
      </c>
      <c r="H119" s="2"/>
      <c r="I119" s="2">
        <f>3294852+144422</f>
        <v>3439274</v>
      </c>
      <c r="J119" s="2"/>
      <c r="K119" s="2">
        <v>95846</v>
      </c>
      <c r="L119" s="2"/>
      <c r="M119" s="2">
        <v>6657574</v>
      </c>
      <c r="N119" s="2"/>
      <c r="O119" s="2">
        <v>0</v>
      </c>
      <c r="P119" s="2"/>
      <c r="Q119" s="2">
        <v>0</v>
      </c>
      <c r="R119" s="2"/>
      <c r="S119" s="2">
        <v>0</v>
      </c>
      <c r="T119" s="2"/>
      <c r="U119" s="2">
        <f>7772+4944937+75489+296229</f>
        <v>5324427</v>
      </c>
      <c r="V119" s="2"/>
      <c r="W119" s="30">
        <f t="shared" si="5"/>
        <v>15517121</v>
      </c>
      <c r="X119" s="2"/>
      <c r="Y119" s="2">
        <v>0</v>
      </c>
      <c r="Z119" s="2"/>
      <c r="AA119" s="2">
        <v>0</v>
      </c>
      <c r="AB119" s="2"/>
      <c r="AC119" s="19" t="s">
        <v>247</v>
      </c>
      <c r="AD119" s="19"/>
      <c r="AE119" s="19" t="s">
        <v>248</v>
      </c>
      <c r="AF119" s="2"/>
      <c r="AG119" s="2">
        <v>0</v>
      </c>
      <c r="AH119" s="2"/>
      <c r="AI119" s="2">
        <v>0</v>
      </c>
      <c r="AJ119" s="2"/>
      <c r="AK119" s="2">
        <v>0</v>
      </c>
      <c r="AL119" s="2"/>
      <c r="AM119" s="2">
        <v>2062</v>
      </c>
      <c r="AN119" s="2"/>
      <c r="AO119" s="2">
        <v>0</v>
      </c>
      <c r="AP119" s="2"/>
      <c r="AQ119" s="2">
        <v>0</v>
      </c>
      <c r="AR119" s="2"/>
      <c r="AS119" s="2">
        <v>0</v>
      </c>
      <c r="AT119" s="2"/>
      <c r="AU119" s="2">
        <f t="shared" si="6"/>
        <v>2062</v>
      </c>
      <c r="AV119" s="2"/>
      <c r="AW119" s="2">
        <f t="shared" si="7"/>
        <v>15519183</v>
      </c>
      <c r="AY119" s="100" t="s">
        <v>424</v>
      </c>
    </row>
    <row r="120" spans="1:51" s="96" customFormat="1">
      <c r="A120" s="19" t="s">
        <v>249</v>
      </c>
      <c r="B120" s="19"/>
      <c r="C120" s="19" t="s">
        <v>250</v>
      </c>
      <c r="E120" s="19">
        <v>49965</v>
      </c>
      <c r="G120" s="2">
        <v>0</v>
      </c>
      <c r="H120" s="2"/>
      <c r="I120" s="2">
        <v>2406065</v>
      </c>
      <c r="J120" s="2"/>
      <c r="K120" s="2">
        <v>63171</v>
      </c>
      <c r="L120" s="2"/>
      <c r="M120" s="2">
        <v>1021296</v>
      </c>
      <c r="N120" s="2"/>
      <c r="O120" s="2">
        <v>0</v>
      </c>
      <c r="P120" s="2"/>
      <c r="Q120" s="2">
        <v>0</v>
      </c>
      <c r="R120" s="2"/>
      <c r="S120" s="2">
        <v>0</v>
      </c>
      <c r="T120" s="2"/>
      <c r="U120" s="2">
        <f>6577244+21789</f>
        <v>6599033</v>
      </c>
      <c r="V120" s="2"/>
      <c r="W120" s="30">
        <f t="shared" si="5"/>
        <v>10089565</v>
      </c>
      <c r="X120" s="2"/>
      <c r="Y120" s="2">
        <v>0</v>
      </c>
      <c r="Z120" s="2"/>
      <c r="AA120" s="2">
        <v>0</v>
      </c>
      <c r="AB120" s="2"/>
      <c r="AC120" s="19" t="s">
        <v>249</v>
      </c>
      <c r="AD120" s="19"/>
      <c r="AE120" s="19" t="s">
        <v>250</v>
      </c>
      <c r="AF120" s="2"/>
      <c r="AG120" s="2">
        <v>0</v>
      </c>
      <c r="AH120" s="2"/>
      <c r="AI120" s="2">
        <v>0</v>
      </c>
      <c r="AJ120" s="2"/>
      <c r="AK120" s="2">
        <v>0</v>
      </c>
      <c r="AL120" s="2"/>
      <c r="AM120" s="2">
        <v>0</v>
      </c>
      <c r="AN120" s="2"/>
      <c r="AO120" s="2">
        <v>0</v>
      </c>
      <c r="AP120" s="2"/>
      <c r="AQ120" s="2">
        <v>0</v>
      </c>
      <c r="AR120" s="2"/>
      <c r="AS120" s="2">
        <v>0</v>
      </c>
      <c r="AT120" s="2"/>
      <c r="AU120" s="2">
        <f t="shared" si="6"/>
        <v>0</v>
      </c>
      <c r="AV120" s="2"/>
      <c r="AW120" s="2">
        <f t="shared" si="7"/>
        <v>10089565</v>
      </c>
    </row>
    <row r="121" spans="1:51" s="96" customFormat="1">
      <c r="A121" s="19" t="s">
        <v>261</v>
      </c>
      <c r="B121" s="19"/>
      <c r="C121" s="19" t="s">
        <v>262</v>
      </c>
      <c r="E121" s="19">
        <v>50526</v>
      </c>
      <c r="G121" s="2">
        <v>0</v>
      </c>
      <c r="H121" s="2"/>
      <c r="I121" s="2">
        <f>9639+3266491+57711</f>
        <v>3333841</v>
      </c>
      <c r="J121" s="2"/>
      <c r="K121" s="2">
        <v>47991</v>
      </c>
      <c r="L121" s="2"/>
      <c r="M121" s="2">
        <v>1627828</v>
      </c>
      <c r="N121" s="2"/>
      <c r="O121" s="2">
        <v>0</v>
      </c>
      <c r="P121" s="2"/>
      <c r="Q121" s="2">
        <v>0</v>
      </c>
      <c r="R121" s="2"/>
      <c r="S121" s="2">
        <v>0</v>
      </c>
      <c r="T121" s="2"/>
      <c r="U121" s="2">
        <f>8238600+7603</f>
        <v>8246203</v>
      </c>
      <c r="V121" s="2"/>
      <c r="W121" s="30">
        <f t="shared" si="5"/>
        <v>13255863</v>
      </c>
      <c r="X121" s="2"/>
      <c r="Y121" s="2">
        <v>0</v>
      </c>
      <c r="Z121" s="2"/>
      <c r="AA121" s="2">
        <v>0</v>
      </c>
      <c r="AB121" s="2"/>
      <c r="AC121" s="19" t="s">
        <v>261</v>
      </c>
      <c r="AD121" s="19"/>
      <c r="AE121" s="19" t="s">
        <v>262</v>
      </c>
      <c r="AF121" s="2"/>
      <c r="AG121" s="2">
        <v>0</v>
      </c>
      <c r="AH121" s="2"/>
      <c r="AI121" s="2">
        <v>0</v>
      </c>
      <c r="AJ121" s="2"/>
      <c r="AK121" s="2">
        <v>0</v>
      </c>
      <c r="AL121" s="2"/>
      <c r="AM121" s="2">
        <v>0</v>
      </c>
      <c r="AN121" s="2"/>
      <c r="AO121" s="2">
        <v>0</v>
      </c>
      <c r="AP121" s="2"/>
      <c r="AQ121" s="2">
        <v>0</v>
      </c>
      <c r="AR121" s="2"/>
      <c r="AS121" s="2">
        <v>0</v>
      </c>
      <c r="AT121" s="2"/>
      <c r="AU121" s="2">
        <f t="shared" si="6"/>
        <v>0</v>
      </c>
      <c r="AV121" s="2"/>
      <c r="AW121" s="2">
        <f t="shared" si="7"/>
        <v>13255863</v>
      </c>
    </row>
    <row r="122" spans="1:51" s="96" customFormat="1">
      <c r="A122" s="19" t="s">
        <v>251</v>
      </c>
      <c r="B122" s="19"/>
      <c r="C122" s="19" t="s">
        <v>252</v>
      </c>
      <c r="E122" s="19">
        <v>50088</v>
      </c>
      <c r="G122" s="2">
        <v>0</v>
      </c>
      <c r="H122" s="2"/>
      <c r="I122" s="2">
        <f>2168198+354915</f>
        <v>2523113</v>
      </c>
      <c r="J122" s="2"/>
      <c r="K122" s="2">
        <v>191925</v>
      </c>
      <c r="L122" s="2"/>
      <c r="M122" s="2">
        <v>13367579</v>
      </c>
      <c r="N122" s="2"/>
      <c r="O122" s="2">
        <v>100</v>
      </c>
      <c r="P122" s="2"/>
      <c r="Q122" s="2">
        <v>0</v>
      </c>
      <c r="R122" s="2"/>
      <c r="S122" s="2">
        <v>28063</v>
      </c>
      <c r="T122" s="2"/>
      <c r="U122" s="2">
        <f>10406+21436</f>
        <v>31842</v>
      </c>
      <c r="V122" s="2"/>
      <c r="W122" s="30">
        <f t="shared" si="5"/>
        <v>16142622</v>
      </c>
      <c r="X122" s="2"/>
      <c r="Y122" s="2">
        <v>0</v>
      </c>
      <c r="Z122" s="2"/>
      <c r="AA122" s="2">
        <v>0</v>
      </c>
      <c r="AB122" s="2"/>
      <c r="AC122" s="19" t="s">
        <v>251</v>
      </c>
      <c r="AD122" s="19"/>
      <c r="AE122" s="19" t="s">
        <v>252</v>
      </c>
      <c r="AF122" s="2"/>
      <c r="AG122" s="2">
        <v>0</v>
      </c>
      <c r="AH122" s="2"/>
      <c r="AI122" s="2">
        <v>0</v>
      </c>
      <c r="AJ122" s="2"/>
      <c r="AK122" s="2">
        <v>0</v>
      </c>
      <c r="AL122" s="2"/>
      <c r="AM122" s="2">
        <v>0</v>
      </c>
      <c r="AN122" s="2"/>
      <c r="AO122" s="2">
        <v>0</v>
      </c>
      <c r="AP122" s="2"/>
      <c r="AQ122" s="2">
        <v>0</v>
      </c>
      <c r="AR122" s="2"/>
      <c r="AS122" s="2">
        <v>0</v>
      </c>
      <c r="AT122" s="2"/>
      <c r="AU122" s="2">
        <f t="shared" si="6"/>
        <v>0</v>
      </c>
      <c r="AV122" s="2"/>
      <c r="AW122" s="2">
        <f t="shared" si="7"/>
        <v>16142622</v>
      </c>
    </row>
    <row r="123" spans="1:51" s="96" customFormat="1">
      <c r="A123" s="2" t="s">
        <v>389</v>
      </c>
      <c r="B123" s="19"/>
      <c r="C123" s="19" t="s">
        <v>254</v>
      </c>
      <c r="E123" s="19">
        <v>50260</v>
      </c>
      <c r="G123" s="2">
        <v>0</v>
      </c>
      <c r="H123" s="2"/>
      <c r="I123" s="2">
        <v>1266014</v>
      </c>
      <c r="J123" s="2"/>
      <c r="K123" s="2">
        <v>8662</v>
      </c>
      <c r="L123" s="2"/>
      <c r="M123" s="2">
        <v>1951760</v>
      </c>
      <c r="N123" s="2"/>
      <c r="O123" s="2">
        <v>0</v>
      </c>
      <c r="P123" s="2"/>
      <c r="Q123" s="2">
        <v>0</v>
      </c>
      <c r="R123" s="2"/>
      <c r="S123" s="2">
        <v>0</v>
      </c>
      <c r="T123" s="2"/>
      <c r="U123" s="2">
        <v>3070298</v>
      </c>
      <c r="V123" s="2"/>
      <c r="W123" s="30">
        <f t="shared" si="5"/>
        <v>6296734</v>
      </c>
      <c r="X123" s="2"/>
      <c r="Y123" s="2">
        <v>0</v>
      </c>
      <c r="Z123" s="2"/>
      <c r="AA123" s="2">
        <v>0</v>
      </c>
      <c r="AB123" s="2"/>
      <c r="AC123" s="19" t="s">
        <v>375</v>
      </c>
      <c r="AD123" s="19"/>
      <c r="AE123" s="19" t="s">
        <v>254</v>
      </c>
      <c r="AF123" s="2"/>
      <c r="AG123" s="2">
        <v>0</v>
      </c>
      <c r="AH123" s="2"/>
      <c r="AI123" s="2">
        <v>0</v>
      </c>
      <c r="AJ123" s="2"/>
      <c r="AK123" s="2">
        <v>29308</v>
      </c>
      <c r="AL123" s="2"/>
      <c r="AM123" s="2">
        <v>0</v>
      </c>
      <c r="AN123" s="2"/>
      <c r="AO123" s="2">
        <v>0</v>
      </c>
      <c r="AP123" s="2"/>
      <c r="AQ123" s="2">
        <v>0</v>
      </c>
      <c r="AR123" s="2"/>
      <c r="AS123" s="2">
        <v>0</v>
      </c>
      <c r="AT123" s="2"/>
      <c r="AU123" s="2">
        <f t="shared" si="6"/>
        <v>29308</v>
      </c>
      <c r="AV123" s="2"/>
      <c r="AW123" s="2">
        <f t="shared" si="7"/>
        <v>6326042</v>
      </c>
    </row>
    <row r="124" spans="1:51" s="96" customFormat="1" hidden="1">
      <c r="A124" s="19" t="s">
        <v>257</v>
      </c>
      <c r="B124" s="19"/>
      <c r="C124" s="19" t="s">
        <v>258</v>
      </c>
      <c r="E124" s="19">
        <v>50401</v>
      </c>
      <c r="G124" s="2"/>
      <c r="H124" s="2"/>
      <c r="I124" s="2">
        <v>1607736</v>
      </c>
      <c r="J124" s="2"/>
      <c r="K124" s="2">
        <v>63347</v>
      </c>
      <c r="L124" s="2"/>
      <c r="M124" s="2">
        <v>772127</v>
      </c>
      <c r="N124" s="2"/>
      <c r="O124" s="2"/>
      <c r="P124" s="2"/>
      <c r="Q124" s="2"/>
      <c r="R124" s="2"/>
      <c r="S124" s="2"/>
      <c r="T124" s="2"/>
      <c r="U124" s="2">
        <v>10278151</v>
      </c>
      <c r="V124" s="2"/>
      <c r="W124" s="30">
        <f t="shared" si="5"/>
        <v>12721361</v>
      </c>
      <c r="X124" s="2"/>
      <c r="Y124" s="2">
        <v>0</v>
      </c>
      <c r="Z124" s="2"/>
      <c r="AA124" s="2">
        <v>328877</v>
      </c>
      <c r="AB124" s="2"/>
      <c r="AC124" s="19" t="s">
        <v>257</v>
      </c>
      <c r="AD124" s="19"/>
      <c r="AE124" s="19" t="s">
        <v>258</v>
      </c>
      <c r="AF124" s="2"/>
      <c r="AG124" s="2">
        <v>0</v>
      </c>
      <c r="AH124" s="2"/>
      <c r="AI124" s="2">
        <v>0</v>
      </c>
      <c r="AJ124" s="2"/>
      <c r="AK124" s="2">
        <v>0</v>
      </c>
      <c r="AL124" s="2"/>
      <c r="AM124" s="2">
        <v>0</v>
      </c>
      <c r="AN124" s="2"/>
      <c r="AO124" s="2">
        <v>0</v>
      </c>
      <c r="AP124" s="2"/>
      <c r="AQ124" s="2">
        <v>3867</v>
      </c>
      <c r="AR124" s="2"/>
      <c r="AS124" s="2">
        <v>0</v>
      </c>
      <c r="AT124" s="2"/>
      <c r="AU124" s="2">
        <f t="shared" si="6"/>
        <v>332744</v>
      </c>
      <c r="AV124" s="2"/>
      <c r="AW124" s="2">
        <f t="shared" si="7"/>
        <v>13054105</v>
      </c>
      <c r="AY124" s="13" t="s">
        <v>373</v>
      </c>
    </row>
    <row r="125" spans="1:51" s="96" customFormat="1" hidden="1">
      <c r="A125" s="71" t="s">
        <v>259</v>
      </c>
      <c r="B125" s="19"/>
      <c r="C125" s="19" t="s">
        <v>260</v>
      </c>
      <c r="E125" s="19">
        <v>50476</v>
      </c>
      <c r="G125" s="2"/>
      <c r="H125" s="2"/>
      <c r="V125" s="2"/>
      <c r="W125" s="30">
        <f t="shared" si="5"/>
        <v>0</v>
      </c>
      <c r="X125" s="2"/>
      <c r="Y125" s="2">
        <v>0</v>
      </c>
      <c r="Z125" s="2"/>
      <c r="AA125" s="2">
        <v>0</v>
      </c>
      <c r="AB125" s="2"/>
      <c r="AC125" s="19" t="s">
        <v>259</v>
      </c>
      <c r="AD125" s="19"/>
      <c r="AE125" s="19" t="s">
        <v>260</v>
      </c>
      <c r="AF125" s="2"/>
      <c r="AG125" s="2">
        <v>0</v>
      </c>
      <c r="AH125" s="2"/>
      <c r="AI125" s="2">
        <v>0</v>
      </c>
      <c r="AJ125" s="2"/>
      <c r="AK125" s="2">
        <v>0</v>
      </c>
      <c r="AL125" s="2"/>
      <c r="AM125" s="2">
        <v>0</v>
      </c>
      <c r="AN125" s="2"/>
      <c r="AO125" s="2">
        <v>0</v>
      </c>
      <c r="AP125" s="2"/>
      <c r="AQ125" s="2">
        <v>0</v>
      </c>
      <c r="AR125" s="2"/>
      <c r="AS125" s="2">
        <v>0</v>
      </c>
      <c r="AT125" s="2"/>
      <c r="AU125" s="2">
        <f t="shared" si="6"/>
        <v>0</v>
      </c>
      <c r="AV125" s="2"/>
      <c r="AW125" s="2">
        <f t="shared" si="7"/>
        <v>0</v>
      </c>
      <c r="AY125" s="60" t="s">
        <v>428</v>
      </c>
    </row>
    <row r="126" spans="1:51" s="96" customFormat="1">
      <c r="A126" s="19" t="s">
        <v>255</v>
      </c>
      <c r="B126" s="19"/>
      <c r="C126" s="19" t="s">
        <v>256</v>
      </c>
      <c r="E126" s="19">
        <v>134999</v>
      </c>
      <c r="G126" s="2">
        <v>0</v>
      </c>
      <c r="H126" s="2"/>
      <c r="I126" s="2">
        <v>865712</v>
      </c>
      <c r="J126" s="2"/>
      <c r="K126" s="2">
        <v>19777</v>
      </c>
      <c r="L126" s="2"/>
      <c r="M126" s="2">
        <v>150041</v>
      </c>
      <c r="N126" s="2"/>
      <c r="O126" s="2">
        <v>0</v>
      </c>
      <c r="P126" s="2"/>
      <c r="Q126" s="2">
        <v>0</v>
      </c>
      <c r="R126" s="2"/>
      <c r="S126" s="2">
        <v>50</v>
      </c>
      <c r="T126" s="2"/>
      <c r="U126" s="2">
        <f>3069382+5642</f>
        <v>3075024</v>
      </c>
      <c r="V126" s="2"/>
      <c r="W126" s="30">
        <f>SUM(G126:V126)</f>
        <v>4110604</v>
      </c>
      <c r="X126" s="2"/>
      <c r="Y126" s="2">
        <v>0</v>
      </c>
      <c r="Z126" s="2"/>
      <c r="AA126" s="2">
        <v>0</v>
      </c>
      <c r="AB126" s="2"/>
      <c r="AC126" s="19" t="s">
        <v>255</v>
      </c>
      <c r="AD126" s="19"/>
      <c r="AE126" s="19" t="s">
        <v>256</v>
      </c>
      <c r="AF126" s="2"/>
      <c r="AG126" s="2">
        <v>0</v>
      </c>
      <c r="AH126" s="2"/>
      <c r="AI126" s="2">
        <v>0</v>
      </c>
      <c r="AJ126" s="2"/>
      <c r="AK126" s="2">
        <v>0</v>
      </c>
      <c r="AL126" s="2"/>
      <c r="AM126" s="2">
        <v>0</v>
      </c>
      <c r="AN126" s="2"/>
      <c r="AO126" s="2">
        <v>0</v>
      </c>
      <c r="AP126" s="2"/>
      <c r="AQ126" s="2">
        <v>0</v>
      </c>
      <c r="AR126" s="2"/>
      <c r="AS126" s="2">
        <v>0</v>
      </c>
      <c r="AT126" s="2"/>
      <c r="AU126" s="2">
        <f t="shared" si="6"/>
        <v>0</v>
      </c>
      <c r="AV126" s="2"/>
      <c r="AW126" s="2">
        <f t="shared" si="7"/>
        <v>4110604</v>
      </c>
    </row>
    <row r="127" spans="1:51" s="96" customFormat="1">
      <c r="A127" s="19" t="s">
        <v>263</v>
      </c>
      <c r="B127" s="19"/>
      <c r="C127" s="19" t="s">
        <v>264</v>
      </c>
      <c r="E127" s="19">
        <v>50666</v>
      </c>
      <c r="G127" s="2">
        <v>0</v>
      </c>
      <c r="H127" s="2"/>
      <c r="I127" s="2">
        <v>1641998</v>
      </c>
      <c r="J127" s="2"/>
      <c r="K127" s="2">
        <v>141259</v>
      </c>
      <c r="L127" s="2"/>
      <c r="M127" s="2">
        <v>640182</v>
      </c>
      <c r="N127" s="2"/>
      <c r="O127" s="2">
        <v>0</v>
      </c>
      <c r="P127" s="2"/>
      <c r="Q127" s="2">
        <v>0</v>
      </c>
      <c r="R127" s="2"/>
      <c r="S127" s="2">
        <v>3120</v>
      </c>
      <c r="T127" s="2"/>
      <c r="U127" s="2">
        <f>11034536+114346</f>
        <v>11148882</v>
      </c>
      <c r="V127" s="2"/>
      <c r="W127" s="30">
        <f t="shared" si="5"/>
        <v>13575441</v>
      </c>
      <c r="X127" s="2"/>
      <c r="Y127" s="2">
        <v>0</v>
      </c>
      <c r="Z127" s="2"/>
      <c r="AA127" s="2">
        <v>0</v>
      </c>
      <c r="AB127" s="2"/>
      <c r="AC127" s="19" t="s">
        <v>263</v>
      </c>
      <c r="AD127" s="19"/>
      <c r="AE127" s="19" t="s">
        <v>264</v>
      </c>
      <c r="AF127" s="2"/>
      <c r="AG127" s="2">
        <v>0</v>
      </c>
      <c r="AH127" s="2"/>
      <c r="AI127" s="2">
        <v>0</v>
      </c>
      <c r="AJ127" s="2"/>
      <c r="AK127" s="2">
        <v>0</v>
      </c>
      <c r="AL127" s="2"/>
      <c r="AM127" s="2">
        <v>0</v>
      </c>
      <c r="AN127" s="2"/>
      <c r="AO127" s="2">
        <v>0</v>
      </c>
      <c r="AP127" s="2"/>
      <c r="AQ127" s="2">
        <v>0</v>
      </c>
      <c r="AR127" s="2"/>
      <c r="AS127" s="2">
        <v>0</v>
      </c>
      <c r="AT127" s="2"/>
      <c r="AU127" s="2">
        <f t="shared" si="6"/>
        <v>0</v>
      </c>
      <c r="AV127" s="2"/>
      <c r="AW127" s="2">
        <f t="shared" si="7"/>
        <v>13575441</v>
      </c>
    </row>
    <row r="128" spans="1:51">
      <c r="A128" s="19"/>
      <c r="B128" s="19"/>
      <c r="C128" s="19"/>
      <c r="E128" s="1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0"/>
      <c r="X128" s="2"/>
      <c r="Y128" s="2"/>
      <c r="Z128" s="2"/>
      <c r="AA128" s="2"/>
      <c r="AB128" s="2"/>
      <c r="AC128" s="19"/>
      <c r="AD128" s="19"/>
      <c r="AE128" s="19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27">
      <c r="AA129" s="57" t="s">
        <v>348</v>
      </c>
    </row>
    <row r="131" spans="1:27">
      <c r="A131" s="121"/>
      <c r="B131" s="121"/>
      <c r="C131" s="121"/>
      <c r="D131" s="121"/>
      <c r="E131" s="121"/>
      <c r="F131" s="121"/>
      <c r="G131" s="121"/>
      <c r="H131" s="121"/>
    </row>
  </sheetData>
  <mergeCells count="2">
    <mergeCell ref="A131:H131"/>
    <mergeCell ref="A64:H64"/>
  </mergeCells>
  <phoneticPr fontId="3" type="noConversion"/>
  <pageMargins left="0.7" right="0.7" top="0.5" bottom="0.5" header="0" footer="0.25"/>
  <pageSetup scale="80" firstPageNumber="28" pageOrder="overThenDown" orientation="portrait" useFirstPageNumber="1" horizontalDpi="1200" verticalDpi="1200" r:id="rId1"/>
  <headerFooter alignWithMargins="0">
    <oddFooter>&amp;C&amp;"Times New Roman,Regular"&amp;12&amp;P</oddFooter>
  </headerFooter>
  <rowBreaks count="1" manualBreakCount="1">
    <brk id="64" max="16383" man="1"/>
  </rowBreaks>
  <colBreaks count="3" manualBreakCount="3">
    <brk id="13" max="1048575" man="1"/>
    <brk id="28" max="1048575" man="1"/>
    <brk id="50" min="1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H133"/>
  <sheetViews>
    <sheetView zoomScaleNormal="100" zoomScaleSheetLayoutView="80" workbookViewId="0">
      <pane xSplit="6" ySplit="11" topLeftCell="AD12" activePane="bottomRight" state="frozen"/>
      <selection pane="topRight" activeCell="G1" sqref="G1"/>
      <selection pane="bottomLeft" activeCell="A12" sqref="A12"/>
      <selection pane="bottomRight" activeCell="AF27" sqref="AF27"/>
    </sheetView>
  </sheetViews>
  <sheetFormatPr defaultRowHeight="12.75"/>
  <cols>
    <col min="1" max="1" width="40.7109375" customWidth="1"/>
    <col min="2" max="2" width="1.7109375" customWidth="1"/>
    <col min="3" max="3" width="11.7109375" customWidth="1"/>
    <col min="4" max="4" width="1.7109375" hidden="1" customWidth="1"/>
    <col min="5" max="5" width="6.140625" hidden="1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40.7109375" customWidth="1"/>
    <col min="29" max="29" width="1.7109375" customWidth="1"/>
    <col min="30" max="30" width="10.7109375" customWidth="1"/>
    <col min="31" max="31" width="1.7109375" customWidth="1"/>
    <col min="32" max="32" width="11.7109375" customWidth="1"/>
    <col min="33" max="33" width="1.7109375" customWidth="1"/>
    <col min="34" max="34" width="11.7109375" customWidth="1"/>
    <col min="35" max="35" width="1.7109375" customWidth="1"/>
    <col min="36" max="36" width="10" customWidth="1"/>
    <col min="37" max="37" width="1.7109375" customWidth="1"/>
    <col min="38" max="38" width="12.5703125" customWidth="1"/>
    <col min="39" max="39" width="1.7109375" customWidth="1"/>
    <col min="40" max="40" width="11.7109375" customWidth="1"/>
    <col min="41" max="41" width="1.7109375" customWidth="1"/>
    <col min="42" max="42" width="11.7109375" customWidth="1"/>
    <col min="43" max="43" width="1.7109375" customWidth="1"/>
    <col min="44" max="44" width="11.7109375" customWidth="1"/>
    <col min="45" max="45" width="1.7109375" hidden="1" customWidth="1"/>
    <col min="46" max="46" width="11.7109375" hidden="1" customWidth="1"/>
    <col min="47" max="47" width="1.7109375" customWidth="1"/>
    <col min="48" max="48" width="11.7109375" customWidth="1"/>
    <col min="49" max="49" width="1.7109375" customWidth="1"/>
    <col min="50" max="50" width="11.7109375" customWidth="1"/>
    <col min="51" max="51" width="1.7109375" customWidth="1"/>
    <col min="52" max="52" width="11.7109375" customWidth="1"/>
    <col min="53" max="53" width="40.7109375" customWidth="1"/>
    <col min="54" max="54" width="1.7109375" customWidth="1"/>
    <col min="55" max="55" width="10.7109375" customWidth="1"/>
    <col min="56" max="57" width="1.7109375" customWidth="1"/>
    <col min="58" max="58" width="11.7109375" customWidth="1"/>
    <col min="59" max="59" width="1.7109375" hidden="1" customWidth="1"/>
    <col min="60" max="60" width="10.7109375" hidden="1" customWidth="1"/>
    <col min="61" max="61" width="1.7109375" hidden="1" customWidth="1"/>
    <col min="62" max="62" width="11.7109375" hidden="1" customWidth="1"/>
    <col min="63" max="63" width="1.7109375" customWidth="1"/>
    <col min="64" max="64" width="10.7109375" customWidth="1"/>
    <col min="65" max="65" width="1.7109375" customWidth="1"/>
    <col min="66" max="66" width="11.7109375" customWidth="1"/>
    <col min="67" max="67" width="1.7109375" customWidth="1"/>
    <col min="68" max="68" width="11.7109375" customWidth="1"/>
    <col min="69" max="69" width="1.7109375" customWidth="1"/>
    <col min="70" max="70" width="11.7109375" customWidth="1"/>
    <col min="71" max="71" width="1.7109375" customWidth="1"/>
    <col min="72" max="72" width="13.140625" customWidth="1"/>
    <col min="73" max="73" width="1.7109375" hidden="1" customWidth="1"/>
    <col min="74" max="74" width="11.7109375" hidden="1" customWidth="1"/>
    <col min="75" max="75" width="1.7109375" customWidth="1"/>
    <col min="76" max="76" width="11.7109375" customWidth="1"/>
    <col min="77" max="77" width="1.7109375" customWidth="1"/>
    <col min="78" max="78" width="11.7109375" customWidth="1"/>
    <col min="79" max="79" width="1.7109375" customWidth="1"/>
    <col min="81" max="81" width="9.140625" style="40" customWidth="1"/>
  </cols>
  <sheetData>
    <row r="1" spans="1:86" s="3" customFormat="1" ht="12">
      <c r="A1" s="34" t="s">
        <v>118</v>
      </c>
      <c r="B1" s="34"/>
      <c r="C1" s="34"/>
      <c r="D1" s="34"/>
      <c r="E1" s="34"/>
      <c r="F1" s="34"/>
      <c r="G1" s="34"/>
      <c r="H1" s="34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34" t="s">
        <v>118</v>
      </c>
      <c r="AC1" s="34"/>
      <c r="AD1" s="34"/>
      <c r="AE1" s="34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2"/>
      <c r="AT1" s="32"/>
      <c r="AU1" s="32"/>
      <c r="AV1" s="32"/>
      <c r="BA1" s="34" t="s">
        <v>118</v>
      </c>
      <c r="BB1" s="34"/>
      <c r="BC1" s="34"/>
      <c r="BX1" s="35"/>
    </row>
    <row r="2" spans="1:86" s="3" customFormat="1" ht="12">
      <c r="A2" s="34" t="s">
        <v>391</v>
      </c>
      <c r="B2" s="34"/>
      <c r="C2" s="34"/>
      <c r="D2" s="34"/>
      <c r="E2" s="34"/>
      <c r="F2" s="34"/>
      <c r="G2" s="34"/>
      <c r="H2" s="34"/>
      <c r="I2" s="33"/>
      <c r="J2" s="3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4" t="s">
        <v>391</v>
      </c>
      <c r="AC2" s="34"/>
      <c r="AD2" s="34"/>
      <c r="AE2" s="34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32"/>
      <c r="AT2" s="32"/>
      <c r="AU2" s="32"/>
      <c r="AV2" s="32"/>
      <c r="BA2" s="34" t="s">
        <v>391</v>
      </c>
      <c r="BB2" s="34"/>
      <c r="BC2" s="34"/>
      <c r="BX2" s="35"/>
    </row>
    <row r="3" spans="1:86" s="3" customFormat="1" ht="12">
      <c r="A3" s="14" t="s">
        <v>348</v>
      </c>
      <c r="B3" s="34"/>
      <c r="C3" s="34"/>
      <c r="D3" s="34"/>
      <c r="E3" s="34"/>
      <c r="F3" s="34"/>
      <c r="G3" s="34"/>
      <c r="H3" s="34"/>
      <c r="I3" s="33"/>
      <c r="J3" s="3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4" t="s">
        <v>348</v>
      </c>
      <c r="AC3" s="34"/>
      <c r="AD3" s="34"/>
      <c r="AE3" s="34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32"/>
      <c r="AT3" s="32"/>
      <c r="AU3" s="32"/>
      <c r="AV3" s="32"/>
      <c r="BA3" s="14" t="s">
        <v>348</v>
      </c>
      <c r="BB3" s="34"/>
      <c r="BC3" s="34"/>
      <c r="BX3" s="35"/>
    </row>
    <row r="4" spans="1:86" s="2" customFormat="1" ht="12">
      <c r="A4" s="18" t="s">
        <v>349</v>
      </c>
      <c r="B4" s="28"/>
      <c r="C4" s="28"/>
      <c r="D4" s="28"/>
      <c r="E4" s="2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" t="s">
        <v>349</v>
      </c>
      <c r="AC4" s="28"/>
      <c r="AD4" s="28"/>
      <c r="AE4" s="2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BA4" s="18" t="s">
        <v>349</v>
      </c>
      <c r="BB4" s="28"/>
      <c r="BC4" s="28"/>
      <c r="BX4" s="36"/>
    </row>
    <row r="5" spans="1:86" s="13" customFormat="1" ht="12">
      <c r="A5" s="14"/>
    </row>
    <row r="6" spans="1:86" s="17" customFormat="1" ht="12"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AC6" s="15"/>
      <c r="AD6" s="15"/>
      <c r="AE6" s="15"/>
      <c r="BB6" s="15"/>
      <c r="BC6" s="15"/>
    </row>
    <row r="7" spans="1:86" s="2" customFormat="1" ht="12">
      <c r="A7" s="83"/>
      <c r="B7" s="3"/>
      <c r="C7" s="3"/>
      <c r="D7" s="3"/>
      <c r="E7" s="3"/>
      <c r="G7" s="20" t="s">
        <v>60</v>
      </c>
      <c r="H7" s="20"/>
      <c r="I7" s="20"/>
      <c r="J7" s="20"/>
      <c r="K7" s="20"/>
      <c r="L7" s="20"/>
      <c r="M7" s="20"/>
      <c r="O7" s="119" t="s">
        <v>61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3"/>
      <c r="AC7" s="3"/>
      <c r="AD7" s="3"/>
      <c r="AE7" s="3"/>
      <c r="AF7" s="20" t="s">
        <v>61</v>
      </c>
      <c r="AG7" s="68"/>
      <c r="AH7" s="68"/>
      <c r="AI7" s="68"/>
      <c r="AJ7" s="68"/>
      <c r="AL7" s="117" t="s">
        <v>378</v>
      </c>
      <c r="AM7" s="117"/>
      <c r="AN7" s="67" t="s">
        <v>47</v>
      </c>
      <c r="AV7" s="20" t="s">
        <v>119</v>
      </c>
      <c r="AW7" s="20"/>
      <c r="AX7" s="20"/>
      <c r="AY7" s="5"/>
      <c r="BA7" s="3"/>
      <c r="BB7" s="3"/>
      <c r="BC7" s="3"/>
      <c r="BF7" s="20" t="s">
        <v>120</v>
      </c>
      <c r="BG7" s="20"/>
      <c r="BH7" s="20"/>
      <c r="BI7" s="20"/>
      <c r="BJ7" s="20"/>
      <c r="BK7" s="20"/>
      <c r="BL7" s="20"/>
      <c r="BN7" s="7" t="s">
        <v>9</v>
      </c>
      <c r="BO7" s="7"/>
      <c r="BP7" s="7" t="s">
        <v>121</v>
      </c>
      <c r="BQ7" s="7"/>
      <c r="BR7" s="7" t="s">
        <v>99</v>
      </c>
      <c r="BS7" s="7"/>
      <c r="BT7" s="7"/>
      <c r="BU7" s="7"/>
      <c r="BV7" s="7" t="s">
        <v>316</v>
      </c>
      <c r="BW7" s="7"/>
      <c r="BX7" s="7" t="s">
        <v>99</v>
      </c>
      <c r="BY7" s="7"/>
      <c r="BZ7" s="7" t="s">
        <v>5</v>
      </c>
    </row>
    <row r="8" spans="1:86" s="7" customFormat="1" ht="12">
      <c r="A8" s="115" t="s">
        <v>359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AA8" s="7" t="s">
        <v>62</v>
      </c>
      <c r="AB8" s="115" t="s">
        <v>359</v>
      </c>
      <c r="BA8" s="115" t="s">
        <v>359</v>
      </c>
      <c r="BJ8" s="7" t="s">
        <v>302</v>
      </c>
      <c r="BL8" s="7" t="s">
        <v>122</v>
      </c>
      <c r="BN8" s="7" t="s">
        <v>123</v>
      </c>
      <c r="BP8" s="7" t="s">
        <v>124</v>
      </c>
      <c r="BR8" s="7" t="s">
        <v>125</v>
      </c>
      <c r="BT8" s="7" t="s">
        <v>296</v>
      </c>
      <c r="BV8" s="7" t="s">
        <v>315</v>
      </c>
      <c r="BX8" s="7" t="s">
        <v>125</v>
      </c>
      <c r="BZ8" s="7" t="s">
        <v>12</v>
      </c>
    </row>
    <row r="9" spans="1:86" s="7" customFormat="1" ht="12">
      <c r="A9" s="8"/>
      <c r="B9" s="8"/>
      <c r="C9" s="8"/>
      <c r="D9" s="8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65</v>
      </c>
      <c r="R9" s="8"/>
      <c r="S9" s="8" t="s">
        <v>66</v>
      </c>
      <c r="T9" s="8"/>
      <c r="U9" s="8"/>
      <c r="V9" s="8"/>
      <c r="W9" s="8"/>
      <c r="X9" s="8"/>
      <c r="Y9" s="8"/>
      <c r="Z9" s="8"/>
      <c r="AA9" s="8" t="s">
        <v>67</v>
      </c>
      <c r="AB9" s="8"/>
      <c r="AC9" s="8"/>
      <c r="AD9" s="8"/>
      <c r="AE9" s="8"/>
      <c r="AF9" s="8" t="s">
        <v>68</v>
      </c>
      <c r="AG9" s="8"/>
      <c r="AH9" s="8"/>
      <c r="AI9" s="8"/>
      <c r="AJ9" s="8"/>
      <c r="AK9" s="8"/>
      <c r="AL9" s="7" t="s">
        <v>69</v>
      </c>
      <c r="AP9" s="7" t="s">
        <v>70</v>
      </c>
      <c r="AR9" s="7" t="s">
        <v>7</v>
      </c>
      <c r="AT9" s="7" t="s">
        <v>107</v>
      </c>
      <c r="AV9" s="7" t="s">
        <v>126</v>
      </c>
      <c r="AZ9" s="7" t="s">
        <v>9</v>
      </c>
      <c r="BA9" s="8"/>
      <c r="BB9" s="8"/>
      <c r="BC9" s="8"/>
      <c r="BF9" s="7" t="s">
        <v>71</v>
      </c>
      <c r="BH9" s="7" t="s">
        <v>127</v>
      </c>
      <c r="BJ9" s="7" t="s">
        <v>301</v>
      </c>
      <c r="BL9" s="7" t="s">
        <v>89</v>
      </c>
      <c r="BN9" s="7" t="s">
        <v>44</v>
      </c>
      <c r="BP9" s="7" t="s">
        <v>99</v>
      </c>
      <c r="BR9" s="8" t="s">
        <v>74</v>
      </c>
      <c r="BT9" s="7" t="s">
        <v>299</v>
      </c>
      <c r="BV9" s="7" t="s">
        <v>297</v>
      </c>
      <c r="BX9" s="8" t="s">
        <v>128</v>
      </c>
      <c r="BZ9" s="7" t="s">
        <v>129</v>
      </c>
    </row>
    <row r="10" spans="1:86" s="7" customFormat="1" ht="12">
      <c r="A10" s="105" t="s">
        <v>434</v>
      </c>
      <c r="C10" s="4" t="s">
        <v>13</v>
      </c>
      <c r="E10" s="4" t="s">
        <v>14</v>
      </c>
      <c r="G10" s="44" t="s">
        <v>314</v>
      </c>
      <c r="I10" s="44" t="s">
        <v>77</v>
      </c>
      <c r="K10" s="44" t="s">
        <v>78</v>
      </c>
      <c r="M10" s="44" t="s">
        <v>89</v>
      </c>
      <c r="O10" s="44" t="s">
        <v>79</v>
      </c>
      <c r="Q10" s="44" t="s">
        <v>80</v>
      </c>
      <c r="S10" s="44" t="s">
        <v>81</v>
      </c>
      <c r="U10" s="44" t="s">
        <v>82</v>
      </c>
      <c r="W10" s="44" t="s">
        <v>83</v>
      </c>
      <c r="X10" s="12"/>
      <c r="Y10" s="11" t="s">
        <v>84</v>
      </c>
      <c r="AA10" s="44" t="s">
        <v>85</v>
      </c>
      <c r="AB10" s="113" t="s">
        <v>434</v>
      </c>
      <c r="AD10" s="4" t="s">
        <v>13</v>
      </c>
      <c r="AE10" s="8"/>
      <c r="AF10" s="11" t="s">
        <v>86</v>
      </c>
      <c r="AG10" s="12"/>
      <c r="AH10" s="11" t="s">
        <v>87</v>
      </c>
      <c r="AJ10" s="4" t="s">
        <v>89</v>
      </c>
      <c r="AL10" s="4" t="s">
        <v>88</v>
      </c>
      <c r="AN10" s="4" t="s">
        <v>89</v>
      </c>
      <c r="AO10" s="8"/>
      <c r="AP10" s="4" t="s">
        <v>54</v>
      </c>
      <c r="AQ10" s="8"/>
      <c r="AR10" s="4" t="s">
        <v>130</v>
      </c>
      <c r="AS10" s="8"/>
      <c r="AT10" s="4" t="s">
        <v>112</v>
      </c>
      <c r="AU10" s="8"/>
      <c r="AV10" s="4" t="s">
        <v>131</v>
      </c>
      <c r="AW10" s="8"/>
      <c r="AX10" s="4" t="s">
        <v>90</v>
      </c>
      <c r="AY10" s="4"/>
      <c r="AZ10" s="4" t="s">
        <v>123</v>
      </c>
      <c r="BA10" s="113" t="s">
        <v>434</v>
      </c>
      <c r="BC10" s="4" t="s">
        <v>13</v>
      </c>
      <c r="BD10" s="8"/>
      <c r="BE10" s="8"/>
      <c r="BF10" s="4" t="s">
        <v>91</v>
      </c>
      <c r="BG10" s="8"/>
      <c r="BH10" s="4" t="s">
        <v>91</v>
      </c>
      <c r="BI10" s="8"/>
      <c r="BJ10" s="8" t="s">
        <v>308</v>
      </c>
      <c r="BK10" s="8"/>
      <c r="BL10" s="4" t="s">
        <v>132</v>
      </c>
      <c r="BM10" s="8"/>
      <c r="BN10" s="4" t="s">
        <v>133</v>
      </c>
      <c r="BO10" s="8"/>
      <c r="BP10" s="4" t="s">
        <v>125</v>
      </c>
      <c r="BR10" s="4" t="s">
        <v>94</v>
      </c>
      <c r="BT10" s="4" t="s">
        <v>298</v>
      </c>
      <c r="BV10" s="4" t="s">
        <v>298</v>
      </c>
      <c r="BX10" s="4" t="s">
        <v>94</v>
      </c>
      <c r="BZ10" s="4" t="s">
        <v>22</v>
      </c>
    </row>
    <row r="11" spans="1:86" s="7" customFormat="1" ht="12">
      <c r="A11" s="8"/>
      <c r="C11" s="8"/>
      <c r="E11" s="8"/>
      <c r="G11" s="12"/>
      <c r="I11" s="12"/>
      <c r="K11" s="12"/>
      <c r="M11" s="12"/>
      <c r="O11" s="12"/>
      <c r="Q11" s="12"/>
      <c r="S11" s="12"/>
      <c r="U11" s="12"/>
      <c r="W11" s="12"/>
      <c r="X11" s="12"/>
      <c r="Y11" s="12"/>
      <c r="AA11" s="12"/>
      <c r="AF11" s="12"/>
      <c r="AG11" s="12"/>
      <c r="AH11" s="12"/>
      <c r="AJ11" s="8"/>
      <c r="AL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R11" s="8"/>
      <c r="BT11" s="8"/>
      <c r="BV11" s="8"/>
      <c r="BX11" s="8"/>
      <c r="BZ11" s="8"/>
    </row>
    <row r="12" spans="1:86">
      <c r="A12" s="54" t="s">
        <v>346</v>
      </c>
      <c r="AB12" s="54" t="s">
        <v>346</v>
      </c>
      <c r="BA12" s="54" t="s">
        <v>346</v>
      </c>
    </row>
    <row r="13" spans="1:86" s="65" customFormat="1" hidden="1">
      <c r="A13" s="13" t="s">
        <v>399</v>
      </c>
      <c r="B13" s="13"/>
      <c r="C13" s="13" t="s">
        <v>365</v>
      </c>
      <c r="G13" s="81">
        <v>369599</v>
      </c>
      <c r="H13" s="81"/>
      <c r="I13" s="81">
        <v>128993</v>
      </c>
      <c r="J13" s="81"/>
      <c r="K13" s="81">
        <v>5713849</v>
      </c>
      <c r="L13" s="81"/>
      <c r="M13" s="81">
        <v>0</v>
      </c>
      <c r="N13" s="81"/>
      <c r="O13" s="81">
        <v>597001</v>
      </c>
      <c r="P13" s="81"/>
      <c r="Q13" s="81">
        <v>512464</v>
      </c>
      <c r="R13" s="81"/>
      <c r="S13" s="81">
        <v>49270</v>
      </c>
      <c r="T13" s="81"/>
      <c r="U13" s="81">
        <v>815806</v>
      </c>
      <c r="V13" s="81"/>
      <c r="W13" s="81">
        <v>441601</v>
      </c>
      <c r="X13" s="81"/>
      <c r="Y13" s="81">
        <v>0</v>
      </c>
      <c r="Z13" s="81"/>
      <c r="AA13" s="81">
        <v>1088781</v>
      </c>
      <c r="AB13" s="13" t="s">
        <v>366</v>
      </c>
      <c r="AC13" s="13"/>
      <c r="AD13" s="13" t="s">
        <v>365</v>
      </c>
      <c r="AE13" s="13"/>
      <c r="AF13" s="81">
        <v>14913</v>
      </c>
      <c r="AG13" s="81"/>
      <c r="AH13" s="81">
        <v>373207</v>
      </c>
      <c r="AI13" s="81"/>
      <c r="AJ13" s="81">
        <v>0</v>
      </c>
      <c r="AL13" s="81">
        <v>0</v>
      </c>
      <c r="AM13" s="81"/>
      <c r="AN13" s="81">
        <v>1679</v>
      </c>
      <c r="AO13" s="81"/>
      <c r="AP13" s="81">
        <v>20291</v>
      </c>
      <c r="AQ13" s="81"/>
      <c r="AR13" s="81">
        <v>1286</v>
      </c>
      <c r="AS13" s="81"/>
      <c r="AT13" s="81">
        <v>0</v>
      </c>
      <c r="AU13" s="81"/>
      <c r="AV13" s="81">
        <v>0</v>
      </c>
      <c r="AW13" s="81"/>
      <c r="AX13" s="81">
        <v>0</v>
      </c>
      <c r="AY13" s="81"/>
      <c r="AZ13" s="81">
        <f>SUM(B13:AY13)</f>
        <v>10128740</v>
      </c>
      <c r="BA13" s="13" t="s">
        <v>366</v>
      </c>
      <c r="BB13" s="13"/>
      <c r="BC13" s="13" t="s">
        <v>365</v>
      </c>
      <c r="BD13" s="81"/>
      <c r="BE13" s="81"/>
      <c r="BF13" s="81">
        <v>450000</v>
      </c>
      <c r="BG13" s="81"/>
      <c r="BH13" s="81">
        <v>0</v>
      </c>
      <c r="BI13" s="81"/>
      <c r="BJ13" s="81">
        <v>0</v>
      </c>
      <c r="BK13" s="81"/>
      <c r="BL13" s="81">
        <v>0</v>
      </c>
      <c r="BM13" s="81"/>
      <c r="BN13" s="81">
        <f>+BL13+BH13+BF13+AZ13</f>
        <v>10578740</v>
      </c>
      <c r="BO13" s="81"/>
      <c r="BP13" s="81">
        <f>GenRev!AW12-BN13</f>
        <v>415132</v>
      </c>
      <c r="BQ13" s="81"/>
      <c r="BR13" s="81">
        <v>4206572</v>
      </c>
      <c r="BS13" s="81"/>
      <c r="BT13" s="81">
        <v>0</v>
      </c>
      <c r="BU13" s="81"/>
      <c r="BV13" s="81">
        <f>-BT13</f>
        <v>0</v>
      </c>
      <c r="BW13" s="81"/>
      <c r="BX13" s="81">
        <f>+BR13+BP13-BT13</f>
        <v>4621704</v>
      </c>
      <c r="BY13" s="81"/>
      <c r="BZ13" s="82">
        <f>+BX13-GenBS!AC12</f>
        <v>0</v>
      </c>
      <c r="CA13" s="81"/>
      <c r="CB13" s="60" t="s">
        <v>400</v>
      </c>
      <c r="CC13" s="86"/>
    </row>
    <row r="14" spans="1:86" s="81" customFormat="1">
      <c r="A14" s="81" t="s">
        <v>323</v>
      </c>
      <c r="C14" s="81" t="s">
        <v>155</v>
      </c>
      <c r="E14" s="89">
        <v>62042</v>
      </c>
      <c r="G14" s="81">
        <v>449384</v>
      </c>
      <c r="I14" s="81">
        <v>157944</v>
      </c>
      <c r="K14" s="81">
        <v>2523538</v>
      </c>
      <c r="M14" s="81">
        <f>46516+422</f>
        <v>46938</v>
      </c>
      <c r="O14" s="81">
        <v>127439</v>
      </c>
      <c r="Q14" s="81">
        <v>156350</v>
      </c>
      <c r="S14" s="81">
        <v>71902</v>
      </c>
      <c r="U14" s="81">
        <v>644010</v>
      </c>
      <c r="W14" s="81">
        <v>357360</v>
      </c>
      <c r="Y14" s="81">
        <v>4084</v>
      </c>
      <c r="AA14" s="81">
        <v>445145</v>
      </c>
      <c r="AB14" s="13" t="s">
        <v>323</v>
      </c>
      <c r="AC14" s="13"/>
      <c r="AD14" s="13" t="s">
        <v>155</v>
      </c>
      <c r="AE14" s="13"/>
      <c r="AF14" s="81">
        <v>5583</v>
      </c>
      <c r="AH14" s="81">
        <v>14559</v>
      </c>
      <c r="AJ14" s="81">
        <v>0</v>
      </c>
      <c r="AK14" s="65"/>
      <c r="AL14" s="81">
        <v>0</v>
      </c>
      <c r="AN14" s="81">
        <v>136139</v>
      </c>
      <c r="AP14" s="81">
        <v>24345</v>
      </c>
      <c r="AR14" s="81">
        <v>0</v>
      </c>
      <c r="AV14" s="81">
        <v>882</v>
      </c>
      <c r="AX14" s="81">
        <v>75</v>
      </c>
      <c r="AZ14" s="81">
        <f>SUM(G14:AY14)</f>
        <v>5165677</v>
      </c>
      <c r="BA14" s="13" t="s">
        <v>323</v>
      </c>
      <c r="BB14" s="13"/>
      <c r="BC14" s="13" t="s">
        <v>155</v>
      </c>
      <c r="BF14" s="81">
        <v>51412</v>
      </c>
      <c r="BH14" s="81">
        <v>0</v>
      </c>
      <c r="BJ14" s="81">
        <v>0</v>
      </c>
      <c r="BL14" s="81">
        <v>0</v>
      </c>
      <c r="BN14" s="81">
        <f>+BL14+BH14+BF14+AZ14</f>
        <v>5217089</v>
      </c>
      <c r="BP14" s="81">
        <f>GenRev!AW13-BN14</f>
        <v>558872</v>
      </c>
      <c r="BR14" s="81">
        <v>3375820</v>
      </c>
      <c r="BT14" s="81">
        <v>0</v>
      </c>
      <c r="BV14" s="81">
        <f>-BT14</f>
        <v>0</v>
      </c>
      <c r="BX14" s="81">
        <f>+BR14+BP14-BT14</f>
        <v>3934692</v>
      </c>
      <c r="BZ14" s="82">
        <f>+BX14-GenBS!AC13</f>
        <v>0</v>
      </c>
      <c r="CA14" s="60"/>
      <c r="CB14" s="13" t="s">
        <v>401</v>
      </c>
      <c r="CC14" s="13"/>
      <c r="CD14" s="60"/>
      <c r="CE14" s="60"/>
      <c r="CF14" s="60"/>
      <c r="CG14" s="60"/>
      <c r="CH14" s="60"/>
    </row>
    <row r="15" spans="1:86" s="60" customFormat="1" ht="12">
      <c r="A15" s="13" t="s">
        <v>265</v>
      </c>
      <c r="C15" s="60" t="s">
        <v>156</v>
      </c>
      <c r="E15" s="60">
        <v>50815</v>
      </c>
      <c r="G15" s="13">
        <v>763887</v>
      </c>
      <c r="H15" s="13"/>
      <c r="I15" s="13">
        <v>351116</v>
      </c>
      <c r="J15" s="13"/>
      <c r="K15" s="13">
        <v>5491283</v>
      </c>
      <c r="L15" s="13"/>
      <c r="M15" s="13">
        <v>0</v>
      </c>
      <c r="N15" s="13"/>
      <c r="O15" s="13">
        <v>450829</v>
      </c>
      <c r="P15" s="13"/>
      <c r="Q15" s="13">
        <v>1248953</v>
      </c>
      <c r="R15" s="13"/>
      <c r="S15" s="13">
        <v>60700</v>
      </c>
      <c r="T15" s="13"/>
      <c r="U15" s="13">
        <v>662435</v>
      </c>
      <c r="V15" s="13"/>
      <c r="W15" s="13">
        <v>402929</v>
      </c>
      <c r="X15" s="13"/>
      <c r="Y15" s="13">
        <v>84375</v>
      </c>
      <c r="Z15" s="13"/>
      <c r="AA15" s="13">
        <v>1068808</v>
      </c>
      <c r="AB15" s="13" t="s">
        <v>265</v>
      </c>
      <c r="AD15" s="60" t="s">
        <v>156</v>
      </c>
      <c r="AF15" s="13">
        <v>34473</v>
      </c>
      <c r="AG15" s="13"/>
      <c r="AH15" s="13">
        <v>22222</v>
      </c>
      <c r="AI15" s="13"/>
      <c r="AJ15" s="13">
        <v>0</v>
      </c>
      <c r="AK15" s="13"/>
      <c r="AL15" s="13">
        <v>0</v>
      </c>
      <c r="AM15" s="13"/>
      <c r="AN15" s="13">
        <v>186</v>
      </c>
      <c r="AO15" s="13"/>
      <c r="AP15" s="13">
        <v>0</v>
      </c>
      <c r="AQ15" s="13"/>
      <c r="AR15" s="13">
        <v>0</v>
      </c>
      <c r="AS15" s="13"/>
      <c r="AT15" s="13"/>
      <c r="AU15" s="13"/>
      <c r="AV15" s="13">
        <v>0</v>
      </c>
      <c r="AW15" s="13"/>
      <c r="AX15" s="13">
        <v>0</v>
      </c>
      <c r="AY15" s="13"/>
      <c r="AZ15" s="13">
        <f>SUM(G15:AY15)</f>
        <v>10642196</v>
      </c>
      <c r="BA15" s="13" t="s">
        <v>265</v>
      </c>
      <c r="BC15" s="60" t="s">
        <v>156</v>
      </c>
      <c r="BD15" s="13"/>
      <c r="BE15" s="13"/>
      <c r="BF15" s="13">
        <v>28016</v>
      </c>
      <c r="BG15" s="13"/>
      <c r="BH15" s="13">
        <v>0</v>
      </c>
      <c r="BI15" s="13"/>
      <c r="BJ15" s="13">
        <v>0</v>
      </c>
      <c r="BK15" s="13"/>
      <c r="BL15" s="13">
        <v>0</v>
      </c>
      <c r="BM15" s="13"/>
      <c r="BN15" s="13">
        <f>+BL15+BH15+BF15+AZ15</f>
        <v>10670212</v>
      </c>
      <c r="BO15" s="13"/>
      <c r="BP15" s="13">
        <f>GenRev!AW14-BN15</f>
        <v>118819</v>
      </c>
      <c r="BQ15" s="13"/>
      <c r="BR15" s="13">
        <v>5791974</v>
      </c>
      <c r="BS15" s="13"/>
      <c r="BT15" s="13">
        <v>0</v>
      </c>
      <c r="BU15" s="13"/>
      <c r="BV15" s="13">
        <f>-BT15</f>
        <v>0</v>
      </c>
      <c r="BW15" s="13"/>
      <c r="BX15" s="13">
        <f>+BR15+BP15-BT15</f>
        <v>5910793</v>
      </c>
      <c r="BY15" s="13"/>
      <c r="BZ15" s="64">
        <f>+BX15-GenBS!AC14</f>
        <v>0</v>
      </c>
      <c r="CB15" s="13" t="s">
        <v>401</v>
      </c>
      <c r="CC15" s="13"/>
    </row>
    <row r="16" spans="1:86" s="60" customFormat="1" ht="12">
      <c r="A16" s="13" t="s">
        <v>277</v>
      </c>
      <c r="C16" s="60" t="s">
        <v>158</v>
      </c>
      <c r="E16" s="60">
        <v>51169</v>
      </c>
      <c r="G16" s="13">
        <v>333473</v>
      </c>
      <c r="H16" s="13"/>
      <c r="I16" s="13">
        <v>3399929</v>
      </c>
      <c r="J16" s="13"/>
      <c r="K16" s="13">
        <v>0</v>
      </c>
      <c r="L16" s="13"/>
      <c r="M16" s="13">
        <v>113657</v>
      </c>
      <c r="N16" s="13"/>
      <c r="O16" s="13">
        <v>550408</v>
      </c>
      <c r="P16" s="13"/>
      <c r="Q16" s="13">
        <v>423184</v>
      </c>
      <c r="R16" s="13"/>
      <c r="S16" s="13">
        <v>64673</v>
      </c>
      <c r="T16" s="13"/>
      <c r="U16" s="13">
        <v>1667630</v>
      </c>
      <c r="V16" s="13"/>
      <c r="W16" s="13">
        <v>570369</v>
      </c>
      <c r="X16" s="13"/>
      <c r="Y16" s="13">
        <v>92</v>
      </c>
      <c r="Z16" s="13"/>
      <c r="AA16" s="13">
        <v>1627330</v>
      </c>
      <c r="AB16" s="13" t="s">
        <v>277</v>
      </c>
      <c r="AD16" s="60" t="s">
        <v>158</v>
      </c>
      <c r="AF16" s="13">
        <v>12832</v>
      </c>
      <c r="AG16" s="13"/>
      <c r="AH16" s="13">
        <v>540647</v>
      </c>
      <c r="AI16" s="13"/>
      <c r="AJ16" s="13">
        <v>0</v>
      </c>
      <c r="AK16" s="13"/>
      <c r="AL16" s="13">
        <v>0</v>
      </c>
      <c r="AM16" s="13"/>
      <c r="AN16" s="13">
        <v>57436</v>
      </c>
      <c r="AO16" s="13"/>
      <c r="AP16" s="13">
        <v>360</v>
      </c>
      <c r="AQ16" s="13"/>
      <c r="AR16" s="13">
        <v>265608</v>
      </c>
      <c r="AS16" s="13"/>
      <c r="AT16" s="13"/>
      <c r="AU16" s="13"/>
      <c r="AV16" s="13">
        <v>0</v>
      </c>
      <c r="AW16" s="13"/>
      <c r="AX16" s="13">
        <v>0</v>
      </c>
      <c r="AY16" s="13"/>
      <c r="AZ16" s="13">
        <f t="shared" ref="AZ16:AZ63" si="0">SUM(G16:AY16)</f>
        <v>9627628</v>
      </c>
      <c r="BA16" s="13" t="s">
        <v>277</v>
      </c>
      <c r="BC16" s="60" t="s">
        <v>158</v>
      </c>
      <c r="BD16" s="13"/>
      <c r="BE16" s="13"/>
      <c r="BF16" s="13">
        <v>25000</v>
      </c>
      <c r="BG16" s="13"/>
      <c r="BH16" s="13">
        <v>0</v>
      </c>
      <c r="BI16" s="13"/>
      <c r="BJ16" s="13">
        <v>0</v>
      </c>
      <c r="BK16" s="13"/>
      <c r="BL16" s="13">
        <v>0</v>
      </c>
      <c r="BM16" s="13"/>
      <c r="BN16" s="13">
        <f t="shared" ref="BN16:BN63" si="1">+BL16+BH16+BF16+AZ16</f>
        <v>9652628</v>
      </c>
      <c r="BO16" s="13"/>
      <c r="BP16" s="13">
        <f>GenRev!AW15-BN16</f>
        <v>402319</v>
      </c>
      <c r="BQ16" s="13"/>
      <c r="BR16" s="13">
        <v>4722623</v>
      </c>
      <c r="BS16" s="13"/>
      <c r="BT16" s="13">
        <v>0</v>
      </c>
      <c r="BU16" s="13"/>
      <c r="BV16" s="13">
        <f t="shared" ref="BV16:BV63" si="2">-BT16</f>
        <v>0</v>
      </c>
      <c r="BW16" s="13"/>
      <c r="BX16" s="13">
        <f t="shared" ref="BX16:BX63" si="3">+BR16+BP16-BT16</f>
        <v>5124942</v>
      </c>
      <c r="BY16" s="13"/>
      <c r="BZ16" s="64">
        <f>+BX16-GenBS!AC15</f>
        <v>0</v>
      </c>
      <c r="CB16" s="13" t="s">
        <v>401</v>
      </c>
      <c r="CC16" s="13"/>
    </row>
    <row r="17" spans="1:81" s="60" customFormat="1" ht="12">
      <c r="A17" s="13" t="s">
        <v>267</v>
      </c>
      <c r="C17" s="60" t="s">
        <v>162</v>
      </c>
      <c r="E17" s="60">
        <v>50856</v>
      </c>
      <c r="G17" s="13">
        <v>250162</v>
      </c>
      <c r="H17" s="13"/>
      <c r="I17" s="13">
        <v>0</v>
      </c>
      <c r="J17" s="13"/>
      <c r="K17" s="13">
        <v>3995975</v>
      </c>
      <c r="L17" s="13"/>
      <c r="M17" s="13">
        <v>0</v>
      </c>
      <c r="N17" s="13"/>
      <c r="O17" s="13">
        <v>820299</v>
      </c>
      <c r="P17" s="13"/>
      <c r="Q17" s="13">
        <v>15000</v>
      </c>
      <c r="R17" s="13"/>
      <c r="S17" s="13">
        <v>31658</v>
      </c>
      <c r="T17" s="13"/>
      <c r="U17" s="13">
        <v>554963</v>
      </c>
      <c r="V17" s="13"/>
      <c r="W17" s="13">
        <v>290052</v>
      </c>
      <c r="X17" s="13"/>
      <c r="Y17" s="13">
        <v>0</v>
      </c>
      <c r="Z17" s="13"/>
      <c r="AA17" s="13">
        <v>616652</v>
      </c>
      <c r="AB17" s="13" t="s">
        <v>267</v>
      </c>
      <c r="AD17" s="60" t="s">
        <v>162</v>
      </c>
      <c r="AF17" s="13">
        <v>0</v>
      </c>
      <c r="AG17" s="13"/>
      <c r="AH17" s="13">
        <v>162769</v>
      </c>
      <c r="AI17" s="13"/>
      <c r="AJ17" s="13">
        <v>0</v>
      </c>
      <c r="AK17" s="13"/>
      <c r="AL17" s="13">
        <v>177</v>
      </c>
      <c r="AM17" s="13"/>
      <c r="AN17" s="13">
        <v>0</v>
      </c>
      <c r="AO17" s="13"/>
      <c r="AP17" s="13">
        <v>18311</v>
      </c>
      <c r="AQ17" s="13"/>
      <c r="AR17" s="13">
        <v>0</v>
      </c>
      <c r="AS17" s="13"/>
      <c r="AT17" s="13"/>
      <c r="AU17" s="13"/>
      <c r="AV17" s="13">
        <v>33333</v>
      </c>
      <c r="AW17" s="13"/>
      <c r="AX17" s="13">
        <v>0</v>
      </c>
      <c r="AY17" s="13"/>
      <c r="AZ17" s="13">
        <f t="shared" si="0"/>
        <v>6789351</v>
      </c>
      <c r="BA17" s="13" t="s">
        <v>267</v>
      </c>
      <c r="BC17" s="60" t="s">
        <v>162</v>
      </c>
      <c r="BD17" s="13"/>
      <c r="BE17" s="13"/>
      <c r="BF17" s="13">
        <v>0</v>
      </c>
      <c r="BG17" s="13"/>
      <c r="BH17" s="13">
        <v>0</v>
      </c>
      <c r="BI17" s="13"/>
      <c r="BJ17" s="13">
        <v>0</v>
      </c>
      <c r="BK17" s="13"/>
      <c r="BL17" s="13">
        <v>0</v>
      </c>
      <c r="BM17" s="13"/>
      <c r="BN17" s="13">
        <f t="shared" si="1"/>
        <v>6789351</v>
      </c>
      <c r="BO17" s="13"/>
      <c r="BP17" s="13">
        <f>GenRev!AW16-BN17</f>
        <v>-561950</v>
      </c>
      <c r="BQ17" s="13"/>
      <c r="BR17" s="13">
        <v>672070</v>
      </c>
      <c r="BS17" s="13"/>
      <c r="BT17" s="13">
        <v>0</v>
      </c>
      <c r="BU17" s="13"/>
      <c r="BV17" s="13">
        <f t="shared" si="2"/>
        <v>0</v>
      </c>
      <c r="BW17" s="13"/>
      <c r="BX17" s="13">
        <f t="shared" si="3"/>
        <v>110120</v>
      </c>
      <c r="BY17" s="13"/>
      <c r="BZ17" s="64">
        <f>+BX17-GenBS!AC16</f>
        <v>0</v>
      </c>
      <c r="CB17" s="13" t="s">
        <v>401</v>
      </c>
      <c r="CC17" s="13"/>
    </row>
    <row r="18" spans="1:81" s="19" customFormat="1" ht="12">
      <c r="A18" s="13" t="s">
        <v>290</v>
      </c>
      <c r="C18" s="19" t="s">
        <v>254</v>
      </c>
      <c r="E18" s="19">
        <v>51656</v>
      </c>
      <c r="G18" s="2">
        <v>1261693</v>
      </c>
      <c r="H18" s="2"/>
      <c r="I18" s="2">
        <v>346058</v>
      </c>
      <c r="J18" s="2"/>
      <c r="K18" s="2">
        <v>5806022</v>
      </c>
      <c r="L18" s="2"/>
      <c r="M18" s="2">
        <v>0</v>
      </c>
      <c r="N18" s="2"/>
      <c r="O18" s="2">
        <v>548211</v>
      </c>
      <c r="P18" s="2"/>
      <c r="Q18" s="2">
        <v>490016</v>
      </c>
      <c r="R18" s="2"/>
      <c r="S18" s="2">
        <v>83599</v>
      </c>
      <c r="T18" s="2"/>
      <c r="U18" s="2">
        <v>652873</v>
      </c>
      <c r="V18" s="2"/>
      <c r="W18" s="2">
        <v>371356</v>
      </c>
      <c r="X18" s="2"/>
      <c r="Y18" s="2">
        <v>0</v>
      </c>
      <c r="Z18" s="2"/>
      <c r="AA18" s="2">
        <v>1433255</v>
      </c>
      <c r="AB18" s="13" t="s">
        <v>290</v>
      </c>
      <c r="AD18" s="19" t="s">
        <v>254</v>
      </c>
      <c r="AF18" s="2">
        <v>76654</v>
      </c>
      <c r="AG18" s="2"/>
      <c r="AH18" s="2">
        <v>0</v>
      </c>
      <c r="AI18" s="2"/>
      <c r="AJ18" s="2">
        <v>0</v>
      </c>
      <c r="AK18" s="2"/>
      <c r="AL18" s="2">
        <v>0</v>
      </c>
      <c r="AM18" s="2"/>
      <c r="AN18" s="2">
        <v>0</v>
      </c>
      <c r="AO18" s="2"/>
      <c r="AP18" s="2">
        <v>3215</v>
      </c>
      <c r="AQ18" s="2"/>
      <c r="AR18" s="2">
        <v>148368</v>
      </c>
      <c r="AS18" s="2"/>
      <c r="AT18" s="2"/>
      <c r="AU18" s="2"/>
      <c r="AV18" s="2">
        <v>35181</v>
      </c>
      <c r="AW18" s="2"/>
      <c r="AX18" s="2">
        <v>7915</v>
      </c>
      <c r="AY18" s="2"/>
      <c r="AZ18" s="2">
        <f t="shared" si="0"/>
        <v>11264416</v>
      </c>
      <c r="BA18" s="13" t="s">
        <v>290</v>
      </c>
      <c r="BC18" s="19" t="s">
        <v>254</v>
      </c>
      <c r="BD18" s="2"/>
      <c r="BE18" s="2"/>
      <c r="BF18" s="2">
        <v>45500</v>
      </c>
      <c r="BG18" s="2"/>
      <c r="BH18" s="2">
        <v>0</v>
      </c>
      <c r="BI18" s="2"/>
      <c r="BJ18" s="2">
        <v>0</v>
      </c>
      <c r="BK18" s="2"/>
      <c r="BL18" s="2">
        <v>0</v>
      </c>
      <c r="BM18" s="2"/>
      <c r="BN18" s="2">
        <f t="shared" si="1"/>
        <v>11309916</v>
      </c>
      <c r="BO18" s="2"/>
      <c r="BP18" s="2">
        <f>GenRev!AW17-BN18</f>
        <v>962970</v>
      </c>
      <c r="BQ18" s="2"/>
      <c r="BR18" s="2">
        <v>10805862</v>
      </c>
      <c r="BS18" s="2"/>
      <c r="BT18" s="2">
        <v>0</v>
      </c>
      <c r="BU18" s="2"/>
      <c r="BV18" s="2">
        <f t="shared" si="2"/>
        <v>0</v>
      </c>
      <c r="BW18" s="2"/>
      <c r="BX18" s="2">
        <f t="shared" si="3"/>
        <v>11768832</v>
      </c>
      <c r="BY18" s="2"/>
      <c r="BZ18" s="36">
        <f>+BX18-GenBS!AC17</f>
        <v>0</v>
      </c>
      <c r="CC18" s="2"/>
    </row>
    <row r="19" spans="1:81" s="19" customFormat="1" ht="12">
      <c r="A19" s="13" t="s">
        <v>388</v>
      </c>
      <c r="C19" s="19" t="s">
        <v>159</v>
      </c>
      <c r="E19" s="19">
        <v>50880</v>
      </c>
      <c r="G19" s="2">
        <v>488922</v>
      </c>
      <c r="H19" s="2"/>
      <c r="I19" s="2">
        <v>0</v>
      </c>
      <c r="J19" s="2"/>
      <c r="K19" s="2">
        <v>22667395</v>
      </c>
      <c r="L19" s="2"/>
      <c r="M19" s="2">
        <v>0</v>
      </c>
      <c r="N19" s="2"/>
      <c r="O19" s="2">
        <v>1286166</v>
      </c>
      <c r="P19" s="2"/>
      <c r="Q19" s="2">
        <v>2229752</v>
      </c>
      <c r="R19" s="2"/>
      <c r="S19" s="2">
        <v>97081</v>
      </c>
      <c r="T19" s="2"/>
      <c r="U19" s="2">
        <v>2685926</v>
      </c>
      <c r="V19" s="2"/>
      <c r="W19" s="2">
        <v>1104744</v>
      </c>
      <c r="X19" s="2"/>
      <c r="Y19" s="2">
        <v>72477</v>
      </c>
      <c r="Z19" s="2"/>
      <c r="AA19" s="2">
        <v>3331443</v>
      </c>
      <c r="AB19" s="13" t="s">
        <v>322</v>
      </c>
      <c r="AD19" s="19" t="s">
        <v>159</v>
      </c>
      <c r="AF19" s="2">
        <v>39125</v>
      </c>
      <c r="AG19" s="2"/>
      <c r="AH19" s="2">
        <v>2704961</v>
      </c>
      <c r="AI19" s="2"/>
      <c r="AJ19" s="2">
        <v>0</v>
      </c>
      <c r="AK19" s="2"/>
      <c r="AL19" s="2">
        <v>0</v>
      </c>
      <c r="AM19" s="2"/>
      <c r="AN19" s="2">
        <v>101971</v>
      </c>
      <c r="AO19" s="2"/>
      <c r="AP19" s="2">
        <v>263913</v>
      </c>
      <c r="AQ19" s="2"/>
      <c r="AR19" s="2">
        <v>414</v>
      </c>
      <c r="AS19" s="2"/>
      <c r="AT19" s="2"/>
      <c r="AU19" s="2"/>
      <c r="AV19" s="2">
        <v>0</v>
      </c>
      <c r="AW19" s="2"/>
      <c r="AX19" s="2">
        <v>0</v>
      </c>
      <c r="AY19" s="2"/>
      <c r="AZ19" s="2">
        <f t="shared" si="0"/>
        <v>37074290</v>
      </c>
      <c r="BA19" s="13" t="s">
        <v>322</v>
      </c>
      <c r="BC19" s="19" t="s">
        <v>159</v>
      </c>
      <c r="BD19" s="2"/>
      <c r="BE19" s="2"/>
      <c r="BF19" s="2">
        <v>813110</v>
      </c>
      <c r="BG19" s="2"/>
      <c r="BH19" s="2">
        <v>0</v>
      </c>
      <c r="BI19" s="2"/>
      <c r="BJ19" s="2">
        <v>0</v>
      </c>
      <c r="BK19" s="2"/>
      <c r="BL19" s="2">
        <v>0</v>
      </c>
      <c r="BM19" s="2"/>
      <c r="BN19" s="2">
        <f t="shared" si="1"/>
        <v>37887400</v>
      </c>
      <c r="BO19" s="2"/>
      <c r="BP19" s="2">
        <f>GenRev!AW18-BN19</f>
        <v>1519922</v>
      </c>
      <c r="BQ19" s="2"/>
      <c r="BR19" s="2">
        <v>4809439</v>
      </c>
      <c r="BS19" s="2"/>
      <c r="BT19" s="2">
        <v>0</v>
      </c>
      <c r="BU19" s="2"/>
      <c r="BV19" s="2">
        <f t="shared" si="2"/>
        <v>0</v>
      </c>
      <c r="BW19" s="2"/>
      <c r="BX19" s="2">
        <f t="shared" si="3"/>
        <v>6329361</v>
      </c>
      <c r="BY19" s="2"/>
      <c r="BZ19" s="36">
        <f>+BX19-GenBS!AC18</f>
        <v>0</v>
      </c>
      <c r="CC19" s="2"/>
    </row>
    <row r="20" spans="1:81" s="60" customFormat="1" ht="12" hidden="1">
      <c r="A20" s="17" t="s">
        <v>396</v>
      </c>
      <c r="C20" s="60" t="s">
        <v>282</v>
      </c>
      <c r="E20" s="60">
        <v>63511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7" t="s">
        <v>396</v>
      </c>
      <c r="AD20" s="60" t="s">
        <v>282</v>
      </c>
      <c r="AF20" s="13"/>
      <c r="AG20" s="13"/>
      <c r="AH20" s="13"/>
      <c r="AI20" s="13"/>
      <c r="AJ20" s="13">
        <v>0</v>
      </c>
      <c r="AK20" s="13"/>
      <c r="AL20" s="13">
        <v>0</v>
      </c>
      <c r="AM20" s="13"/>
      <c r="AN20" s="13">
        <v>0</v>
      </c>
      <c r="AO20" s="13"/>
      <c r="AP20" s="13">
        <v>0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>
        <f t="shared" si="0"/>
        <v>0</v>
      </c>
      <c r="BA20" s="17" t="s">
        <v>396</v>
      </c>
      <c r="BC20" s="60" t="s">
        <v>282</v>
      </c>
      <c r="BD20" s="13"/>
      <c r="BE20" s="13"/>
      <c r="BF20" s="13">
        <v>0</v>
      </c>
      <c r="BG20" s="13"/>
      <c r="BH20" s="13">
        <v>0</v>
      </c>
      <c r="BI20" s="13"/>
      <c r="BJ20" s="13">
        <v>0</v>
      </c>
      <c r="BK20" s="13"/>
      <c r="BL20" s="13">
        <v>0</v>
      </c>
      <c r="BM20" s="13"/>
      <c r="BN20" s="13">
        <f t="shared" si="1"/>
        <v>0</v>
      </c>
      <c r="BO20" s="13"/>
      <c r="BP20" s="13">
        <f>GenRev!AW19-BN20</f>
        <v>0</v>
      </c>
      <c r="BQ20" s="13"/>
      <c r="BR20" s="13"/>
      <c r="BS20" s="13"/>
      <c r="BT20" s="13">
        <v>0</v>
      </c>
      <c r="BU20" s="13"/>
      <c r="BV20" s="13">
        <f t="shared" si="2"/>
        <v>0</v>
      </c>
      <c r="BW20" s="13"/>
      <c r="BX20" s="13">
        <f t="shared" si="3"/>
        <v>0</v>
      </c>
      <c r="BY20" s="13"/>
      <c r="BZ20" s="64">
        <f>+BX20-GenBS!AC19</f>
        <v>0</v>
      </c>
      <c r="CB20" s="80" t="s">
        <v>397</v>
      </c>
      <c r="CC20" s="13"/>
    </row>
    <row r="21" spans="1:81" s="19" customFormat="1" ht="12">
      <c r="A21" s="13" t="s">
        <v>392</v>
      </c>
      <c r="C21" s="19" t="s">
        <v>175</v>
      </c>
      <c r="E21" s="19">
        <v>50906</v>
      </c>
      <c r="G21" s="2">
        <v>460444</v>
      </c>
      <c r="H21" s="2"/>
      <c r="I21" s="2">
        <v>181527</v>
      </c>
      <c r="J21" s="2"/>
      <c r="K21" s="2">
        <v>2232983</v>
      </c>
      <c r="L21" s="2"/>
      <c r="M21" s="2">
        <v>0</v>
      </c>
      <c r="N21" s="2"/>
      <c r="O21" s="2">
        <v>99324</v>
      </c>
      <c r="P21" s="2"/>
      <c r="Q21" s="2">
        <v>435194</v>
      </c>
      <c r="R21" s="2"/>
      <c r="S21" s="2">
        <v>22162</v>
      </c>
      <c r="T21" s="2"/>
      <c r="U21" s="2">
        <v>710677</v>
      </c>
      <c r="V21" s="2"/>
      <c r="W21" s="2">
        <v>273857</v>
      </c>
      <c r="X21" s="2"/>
      <c r="Y21" s="2">
        <v>0</v>
      </c>
      <c r="Z21" s="2"/>
      <c r="AA21" s="2">
        <v>767956</v>
      </c>
      <c r="AB21" s="13" t="s">
        <v>271</v>
      </c>
      <c r="AD21" s="19" t="s">
        <v>175</v>
      </c>
      <c r="AF21" s="2">
        <v>0</v>
      </c>
      <c r="AG21" s="2"/>
      <c r="AH21" s="2">
        <v>10017</v>
      </c>
      <c r="AI21" s="2"/>
      <c r="AJ21" s="2">
        <v>0</v>
      </c>
      <c r="AK21" s="2"/>
      <c r="AL21" s="2">
        <v>0</v>
      </c>
      <c r="AM21" s="2"/>
      <c r="AN21" s="2">
        <v>175</v>
      </c>
      <c r="AO21" s="2"/>
      <c r="AP21" s="2">
        <v>14817</v>
      </c>
      <c r="AQ21" s="2"/>
      <c r="AR21" s="2">
        <v>32948</v>
      </c>
      <c r="AS21" s="2"/>
      <c r="AT21" s="2"/>
      <c r="AU21" s="2"/>
      <c r="AV21" s="2">
        <v>0</v>
      </c>
      <c r="AW21" s="2"/>
      <c r="AX21" s="2">
        <v>0</v>
      </c>
      <c r="AY21" s="2"/>
      <c r="AZ21" s="2">
        <f t="shared" si="0"/>
        <v>5242081</v>
      </c>
      <c r="BA21" s="13" t="s">
        <v>271</v>
      </c>
      <c r="BC21" s="19" t="s">
        <v>175</v>
      </c>
      <c r="BD21" s="2"/>
      <c r="BE21" s="2"/>
      <c r="BF21" s="2">
        <v>545000</v>
      </c>
      <c r="BG21" s="2"/>
      <c r="BH21" s="2">
        <v>0</v>
      </c>
      <c r="BI21" s="2"/>
      <c r="BJ21" s="2">
        <v>0</v>
      </c>
      <c r="BK21" s="2"/>
      <c r="BL21" s="2">
        <v>0</v>
      </c>
      <c r="BM21" s="2"/>
      <c r="BN21" s="2">
        <f t="shared" si="1"/>
        <v>5787081</v>
      </c>
      <c r="BO21" s="2"/>
      <c r="BP21" s="2">
        <f>GenRev!AW20-BN21</f>
        <v>22901</v>
      </c>
      <c r="BQ21" s="2"/>
      <c r="BR21" s="2">
        <v>2616289</v>
      </c>
      <c r="BS21" s="2"/>
      <c r="BT21" s="2">
        <v>0</v>
      </c>
      <c r="BU21" s="2"/>
      <c r="BV21" s="2">
        <f>-BT21</f>
        <v>0</v>
      </c>
      <c r="BW21" s="2"/>
      <c r="BX21" s="2">
        <f t="shared" si="3"/>
        <v>2639190</v>
      </c>
      <c r="BY21" s="2"/>
      <c r="BZ21" s="36">
        <f>+BX21-GenBS!AC20</f>
        <v>0</v>
      </c>
      <c r="CC21" s="2"/>
    </row>
    <row r="22" spans="1:81" s="19" customFormat="1" ht="12">
      <c r="A22" s="13" t="s">
        <v>328</v>
      </c>
      <c r="C22" s="19" t="s">
        <v>272</v>
      </c>
      <c r="E22" s="19">
        <v>65227</v>
      </c>
      <c r="G22" s="2">
        <v>548790</v>
      </c>
      <c r="H22" s="2"/>
      <c r="I22" s="2">
        <v>0</v>
      </c>
      <c r="J22" s="2"/>
      <c r="K22" s="2">
        <v>1622752</v>
      </c>
      <c r="L22" s="2"/>
      <c r="M22" s="2">
        <v>0</v>
      </c>
      <c r="N22" s="2"/>
      <c r="O22" s="2">
        <v>181118</v>
      </c>
      <c r="P22" s="2"/>
      <c r="Q22" s="2">
        <v>212268</v>
      </c>
      <c r="R22" s="2"/>
      <c r="S22" s="2">
        <v>43779</v>
      </c>
      <c r="T22" s="2"/>
      <c r="U22" s="2">
        <v>232669</v>
      </c>
      <c r="V22" s="2"/>
      <c r="W22" s="2">
        <v>173720</v>
      </c>
      <c r="X22" s="2"/>
      <c r="Y22" s="2">
        <v>45772</v>
      </c>
      <c r="Z22" s="2"/>
      <c r="AA22" s="2">
        <v>393420</v>
      </c>
      <c r="AB22" s="13" t="s">
        <v>328</v>
      </c>
      <c r="AD22" s="19" t="s">
        <v>272</v>
      </c>
      <c r="AF22" s="2">
        <v>1054</v>
      </c>
      <c r="AG22" s="2"/>
      <c r="AH22" s="2">
        <v>8477</v>
      </c>
      <c r="AI22" s="2"/>
      <c r="AJ22" s="2">
        <v>0</v>
      </c>
      <c r="AK22" s="2"/>
      <c r="AL22" s="2">
        <v>0</v>
      </c>
      <c r="AM22" s="2"/>
      <c r="AN22" s="2">
        <v>0</v>
      </c>
      <c r="AO22" s="2"/>
      <c r="AP22" s="2">
        <v>15283</v>
      </c>
      <c r="AQ22" s="2"/>
      <c r="AR22" s="2">
        <v>0</v>
      </c>
      <c r="AS22" s="2"/>
      <c r="AT22" s="2"/>
      <c r="AU22" s="2"/>
      <c r="AV22" s="2">
        <v>7348</v>
      </c>
      <c r="AW22" s="2"/>
      <c r="AX22" s="2">
        <v>2652</v>
      </c>
      <c r="AY22" s="2"/>
      <c r="AZ22" s="2">
        <f t="shared" si="0"/>
        <v>3489102</v>
      </c>
      <c r="BA22" s="13" t="s">
        <v>328</v>
      </c>
      <c r="BC22" s="19" t="s">
        <v>272</v>
      </c>
      <c r="BD22" s="2"/>
      <c r="BE22" s="2"/>
      <c r="BF22" s="2">
        <v>0</v>
      </c>
      <c r="BG22" s="2"/>
      <c r="BH22" s="2">
        <v>0</v>
      </c>
      <c r="BI22" s="2"/>
      <c r="BJ22" s="2">
        <v>0</v>
      </c>
      <c r="BK22" s="2"/>
      <c r="BL22" s="2">
        <v>0</v>
      </c>
      <c r="BM22" s="2"/>
      <c r="BN22" s="2">
        <f t="shared" si="1"/>
        <v>3489102</v>
      </c>
      <c r="BO22" s="2"/>
      <c r="BP22" s="2">
        <f>GenRev!AW21-BN22</f>
        <v>56500</v>
      </c>
      <c r="BQ22" s="2"/>
      <c r="BR22" s="2">
        <v>-67580</v>
      </c>
      <c r="BS22" s="2"/>
      <c r="BT22" s="2">
        <v>0</v>
      </c>
      <c r="BU22" s="2"/>
      <c r="BV22" s="2">
        <f t="shared" ref="BV22:BV28" si="4">-BT22</f>
        <v>0</v>
      </c>
      <c r="BW22" s="2"/>
      <c r="BX22" s="2">
        <f t="shared" si="3"/>
        <v>-11080</v>
      </c>
      <c r="BY22" s="2"/>
      <c r="BZ22" s="36">
        <f>+BX22-GenBS!AC21</f>
        <v>0</v>
      </c>
      <c r="CC22" s="2"/>
    </row>
    <row r="23" spans="1:81" s="60" customFormat="1" ht="12">
      <c r="A23" s="13" t="s">
        <v>403</v>
      </c>
      <c r="C23" s="60" t="s">
        <v>207</v>
      </c>
      <c r="E23" s="60">
        <v>51201</v>
      </c>
      <c r="G23" s="13">
        <v>101305</v>
      </c>
      <c r="H23" s="13"/>
      <c r="I23" s="13">
        <v>529981</v>
      </c>
      <c r="J23" s="13"/>
      <c r="K23" s="13">
        <v>6005427</v>
      </c>
      <c r="L23" s="13"/>
      <c r="M23" s="13">
        <v>32876</v>
      </c>
      <c r="N23" s="13"/>
      <c r="O23" s="13">
        <v>411662</v>
      </c>
      <c r="P23" s="13"/>
      <c r="Q23" s="13">
        <v>766768</v>
      </c>
      <c r="R23" s="13"/>
      <c r="S23" s="13">
        <v>19462</v>
      </c>
      <c r="T23" s="13"/>
      <c r="U23" s="13">
        <v>1035085</v>
      </c>
      <c r="V23" s="13"/>
      <c r="W23" s="13">
        <v>434523</v>
      </c>
      <c r="X23" s="13"/>
      <c r="Y23" s="13">
        <v>344515</v>
      </c>
      <c r="Z23" s="13"/>
      <c r="AA23" s="13">
        <v>1919496</v>
      </c>
      <c r="AB23" s="13" t="s">
        <v>403</v>
      </c>
      <c r="AD23" s="60" t="s">
        <v>207</v>
      </c>
      <c r="AF23" s="13">
        <v>13577</v>
      </c>
      <c r="AG23" s="13"/>
      <c r="AH23" s="13">
        <v>861680</v>
      </c>
      <c r="AI23" s="13"/>
      <c r="AJ23" s="13">
        <v>0</v>
      </c>
      <c r="AK23" s="13"/>
      <c r="AL23" s="13">
        <v>0</v>
      </c>
      <c r="AM23" s="13"/>
      <c r="AN23" s="13">
        <v>32045</v>
      </c>
      <c r="AO23" s="13"/>
      <c r="AP23" s="13">
        <v>77635</v>
      </c>
      <c r="AQ23" s="13"/>
      <c r="AR23" s="13">
        <v>0</v>
      </c>
      <c r="AS23" s="13"/>
      <c r="AT23" s="13"/>
      <c r="AU23" s="13"/>
      <c r="AV23" s="13">
        <v>302922</v>
      </c>
      <c r="AW23" s="13"/>
      <c r="AX23" s="13">
        <v>6688</v>
      </c>
      <c r="AY23" s="13"/>
      <c r="AZ23" s="13">
        <f t="shared" si="0"/>
        <v>12895647</v>
      </c>
      <c r="BA23" s="13" t="s">
        <v>403</v>
      </c>
      <c r="BC23" s="60" t="s">
        <v>207</v>
      </c>
      <c r="BD23" s="13"/>
      <c r="BE23" s="13"/>
      <c r="BF23" s="13">
        <v>89601</v>
      </c>
      <c r="BG23" s="13"/>
      <c r="BH23" s="13">
        <v>0</v>
      </c>
      <c r="BI23" s="13"/>
      <c r="BJ23" s="13">
        <v>0</v>
      </c>
      <c r="BK23" s="13"/>
      <c r="BL23" s="13">
        <v>0</v>
      </c>
      <c r="BM23" s="13"/>
      <c r="BN23" s="13">
        <f t="shared" si="1"/>
        <v>12985248</v>
      </c>
      <c r="BO23" s="13"/>
      <c r="BP23" s="13">
        <f>GenRev!AW22-BN23</f>
        <v>-374713</v>
      </c>
      <c r="BQ23" s="13"/>
      <c r="BR23" s="13">
        <v>1032305</v>
      </c>
      <c r="BS23" s="13"/>
      <c r="BT23" s="13">
        <v>0</v>
      </c>
      <c r="BU23" s="13"/>
      <c r="BV23" s="13">
        <f t="shared" si="4"/>
        <v>0</v>
      </c>
      <c r="BW23" s="13"/>
      <c r="BX23" s="13">
        <f t="shared" si="3"/>
        <v>657592</v>
      </c>
      <c r="BY23" s="13"/>
      <c r="BZ23" s="64">
        <f>+BX23-GenBS!AC22</f>
        <v>0</v>
      </c>
      <c r="CB23" s="13" t="s">
        <v>401</v>
      </c>
      <c r="CC23" s="13"/>
    </row>
    <row r="24" spans="1:81" s="19" customFormat="1" ht="12">
      <c r="A24" s="2" t="s">
        <v>325</v>
      </c>
      <c r="C24" s="19" t="s">
        <v>177</v>
      </c>
      <c r="E24" s="19">
        <v>50922</v>
      </c>
      <c r="G24" s="2">
        <v>695375</v>
      </c>
      <c r="H24" s="2"/>
      <c r="I24" s="2">
        <v>227506</v>
      </c>
      <c r="J24" s="2"/>
      <c r="K24" s="2">
        <v>4281888</v>
      </c>
      <c r="L24" s="2"/>
      <c r="M24" s="2">
        <v>4233</v>
      </c>
      <c r="N24" s="2"/>
      <c r="O24" s="2">
        <v>630756</v>
      </c>
      <c r="P24" s="2"/>
      <c r="Q24" s="2">
        <v>1385884</v>
      </c>
      <c r="R24" s="2"/>
      <c r="S24" s="2">
        <v>35825</v>
      </c>
      <c r="T24" s="2"/>
      <c r="U24" s="2">
        <v>1585026</v>
      </c>
      <c r="V24" s="2"/>
      <c r="W24" s="2">
        <v>788711</v>
      </c>
      <c r="X24" s="2"/>
      <c r="Y24" s="2">
        <v>824560</v>
      </c>
      <c r="Z24" s="2"/>
      <c r="AA24" s="2">
        <v>1502130</v>
      </c>
      <c r="AB24" s="2" t="s">
        <v>325</v>
      </c>
      <c r="AD24" s="19" t="s">
        <v>177</v>
      </c>
      <c r="AF24" s="2">
        <v>22741</v>
      </c>
      <c r="AG24" s="2"/>
      <c r="AH24" s="2">
        <v>186524</v>
      </c>
      <c r="AI24" s="2"/>
      <c r="AJ24" s="2">
        <v>2031915</v>
      </c>
      <c r="AK24" s="2"/>
      <c r="AL24" s="2">
        <v>0</v>
      </c>
      <c r="AM24" s="2"/>
      <c r="AN24" s="2">
        <v>1760</v>
      </c>
      <c r="AO24" s="2"/>
      <c r="AP24" s="2">
        <v>55000</v>
      </c>
      <c r="AQ24" s="2"/>
      <c r="AR24" s="2">
        <v>185253</v>
      </c>
      <c r="AS24" s="2"/>
      <c r="AT24" s="2"/>
      <c r="AU24" s="2"/>
      <c r="AV24" s="2">
        <v>0</v>
      </c>
      <c r="AW24" s="2"/>
      <c r="AX24" s="2">
        <v>0</v>
      </c>
      <c r="AY24" s="2"/>
      <c r="AZ24" s="2">
        <f t="shared" si="0"/>
        <v>14445087</v>
      </c>
      <c r="BA24" s="2" t="s">
        <v>325</v>
      </c>
      <c r="BC24" s="19" t="s">
        <v>177</v>
      </c>
      <c r="BD24" s="2"/>
      <c r="BE24" s="2"/>
      <c r="BF24" s="2">
        <v>2899859</v>
      </c>
      <c r="BG24" s="2"/>
      <c r="BH24" s="2">
        <v>0</v>
      </c>
      <c r="BI24" s="2"/>
      <c r="BJ24" s="2">
        <v>0</v>
      </c>
      <c r="BK24" s="2"/>
      <c r="BL24" s="2">
        <v>0</v>
      </c>
      <c r="BM24" s="2"/>
      <c r="BN24" s="2">
        <f t="shared" si="1"/>
        <v>17344946</v>
      </c>
      <c r="BO24" s="2"/>
      <c r="BP24" s="2">
        <f>GenRev!AW23-BN24</f>
        <v>-1421094</v>
      </c>
      <c r="BQ24" s="2"/>
      <c r="BR24" s="2">
        <v>14631621</v>
      </c>
      <c r="BS24" s="2"/>
      <c r="BT24" s="2">
        <v>-130</v>
      </c>
      <c r="BU24" s="2"/>
      <c r="BV24" s="2">
        <f t="shared" si="4"/>
        <v>130</v>
      </c>
      <c r="BW24" s="2"/>
      <c r="BX24" s="2">
        <f t="shared" si="3"/>
        <v>13210657</v>
      </c>
      <c r="BY24" s="2"/>
      <c r="BZ24" s="36">
        <f>+BX24-GenBS!AC23</f>
        <v>0</v>
      </c>
      <c r="CC24" s="2"/>
    </row>
    <row r="25" spans="1:81" s="19" customFormat="1" ht="12">
      <c r="A25" s="2" t="s">
        <v>324</v>
      </c>
      <c r="C25" s="19" t="s">
        <v>181</v>
      </c>
      <c r="E25" s="19">
        <v>50989</v>
      </c>
      <c r="G25" s="2">
        <v>993082</v>
      </c>
      <c r="H25" s="2"/>
      <c r="I25" s="2">
        <v>0</v>
      </c>
      <c r="J25" s="2"/>
      <c r="K25" s="2">
        <v>5020124</v>
      </c>
      <c r="L25" s="2"/>
      <c r="M25" s="2">
        <v>17559</v>
      </c>
      <c r="N25" s="2"/>
      <c r="O25" s="2">
        <v>704147</v>
      </c>
      <c r="P25" s="2"/>
      <c r="Q25" s="2">
        <v>356456</v>
      </c>
      <c r="R25" s="2"/>
      <c r="S25" s="2">
        <v>134530</v>
      </c>
      <c r="T25" s="2"/>
      <c r="U25" s="2">
        <v>1257948</v>
      </c>
      <c r="V25" s="2"/>
      <c r="W25" s="2">
        <v>645081</v>
      </c>
      <c r="X25" s="2"/>
      <c r="Y25" s="2">
        <v>0</v>
      </c>
      <c r="Z25" s="2"/>
      <c r="AA25" s="2">
        <v>1454791</v>
      </c>
      <c r="AB25" s="2" t="s">
        <v>324</v>
      </c>
      <c r="AD25" s="19" t="s">
        <v>181</v>
      </c>
      <c r="AF25" s="2">
        <v>23756</v>
      </c>
      <c r="AG25" s="2"/>
      <c r="AH25" s="2">
        <v>870022</v>
      </c>
      <c r="AI25" s="2"/>
      <c r="AJ25" s="2">
        <v>0</v>
      </c>
      <c r="AK25" s="2"/>
      <c r="AL25" s="2">
        <v>0</v>
      </c>
      <c r="AM25" s="2"/>
      <c r="AN25" s="2">
        <v>6530</v>
      </c>
      <c r="AO25" s="2"/>
      <c r="AP25" s="2">
        <v>11174</v>
      </c>
      <c r="AQ25" s="2"/>
      <c r="AR25" s="2">
        <v>381874</v>
      </c>
      <c r="AS25" s="2"/>
      <c r="AT25" s="2"/>
      <c r="AU25" s="2"/>
      <c r="AV25" s="2">
        <v>12694</v>
      </c>
      <c r="AW25" s="2"/>
      <c r="AX25" s="2">
        <v>505</v>
      </c>
      <c r="AY25" s="2"/>
      <c r="AZ25" s="2">
        <f t="shared" si="0"/>
        <v>11890273</v>
      </c>
      <c r="BA25" s="2" t="s">
        <v>324</v>
      </c>
      <c r="BC25" s="19" t="s">
        <v>181</v>
      </c>
      <c r="BD25" s="2"/>
      <c r="BE25" s="2"/>
      <c r="BF25" s="2">
        <v>508698</v>
      </c>
      <c r="BG25" s="2"/>
      <c r="BH25" s="2">
        <v>0</v>
      </c>
      <c r="BI25" s="2"/>
      <c r="BJ25" s="2">
        <v>0</v>
      </c>
      <c r="BK25" s="2"/>
      <c r="BL25" s="2">
        <v>0</v>
      </c>
      <c r="BM25" s="2"/>
      <c r="BN25" s="2">
        <f t="shared" si="1"/>
        <v>12398971</v>
      </c>
      <c r="BO25" s="2"/>
      <c r="BP25" s="2">
        <f>GenRev!AW24-BN25</f>
        <v>1763569</v>
      </c>
      <c r="BQ25" s="2"/>
      <c r="BR25" s="2">
        <v>11289928</v>
      </c>
      <c r="BS25" s="2"/>
      <c r="BT25" s="2">
        <v>0</v>
      </c>
      <c r="BU25" s="2"/>
      <c r="BV25" s="2">
        <f t="shared" si="4"/>
        <v>0</v>
      </c>
      <c r="BW25" s="2"/>
      <c r="BX25" s="2">
        <f t="shared" si="3"/>
        <v>13053497</v>
      </c>
      <c r="BY25" s="2"/>
      <c r="BZ25" s="36">
        <f>+BX25-GenBS!AC24</f>
        <v>0</v>
      </c>
      <c r="CC25" s="2"/>
    </row>
    <row r="26" spans="1:81" s="19" customFormat="1" ht="12">
      <c r="A26" s="2" t="s">
        <v>326</v>
      </c>
      <c r="C26" s="19" t="s">
        <v>186</v>
      </c>
      <c r="E26" s="19">
        <v>51003</v>
      </c>
      <c r="G26" s="2">
        <v>3327305</v>
      </c>
      <c r="H26" s="2"/>
      <c r="I26" s="2">
        <v>1129690</v>
      </c>
      <c r="J26" s="2"/>
      <c r="K26" s="2">
        <v>6140336</v>
      </c>
      <c r="L26" s="2"/>
      <c r="M26" s="2">
        <v>253991</v>
      </c>
      <c r="N26" s="2"/>
      <c r="O26" s="2">
        <v>592313</v>
      </c>
      <c r="P26" s="2"/>
      <c r="Q26" s="2">
        <v>348120</v>
      </c>
      <c r="R26" s="2"/>
      <c r="S26" s="2">
        <v>21989</v>
      </c>
      <c r="T26" s="2"/>
      <c r="U26" s="2">
        <v>2743437</v>
      </c>
      <c r="V26" s="2"/>
      <c r="W26" s="2">
        <v>740126</v>
      </c>
      <c r="X26" s="2"/>
      <c r="Y26" s="2">
        <v>156036</v>
      </c>
      <c r="Z26" s="2"/>
      <c r="AA26" s="2">
        <v>2611464</v>
      </c>
      <c r="AB26" s="2" t="s">
        <v>326</v>
      </c>
      <c r="AD26" s="19" t="s">
        <v>186</v>
      </c>
      <c r="AF26" s="2">
        <v>37803</v>
      </c>
      <c r="AG26" s="2"/>
      <c r="AH26" s="2">
        <v>421107</v>
      </c>
      <c r="AI26" s="2"/>
      <c r="AJ26" s="2">
        <v>0</v>
      </c>
      <c r="AK26" s="2"/>
      <c r="AL26" s="2">
        <v>0</v>
      </c>
      <c r="AM26" s="2"/>
      <c r="AN26" s="2">
        <v>0</v>
      </c>
      <c r="AO26" s="2"/>
      <c r="AP26" s="2">
        <v>30645</v>
      </c>
      <c r="AQ26" s="2"/>
      <c r="AR26" s="2">
        <v>521154</v>
      </c>
      <c r="AS26" s="2"/>
      <c r="AT26" s="2"/>
      <c r="AU26" s="2"/>
      <c r="AV26" s="2">
        <v>36649</v>
      </c>
      <c r="AW26" s="2"/>
      <c r="AX26" s="2">
        <v>186</v>
      </c>
      <c r="AY26" s="2"/>
      <c r="AZ26" s="2">
        <f t="shared" si="0"/>
        <v>19112351</v>
      </c>
      <c r="BA26" s="2" t="s">
        <v>326</v>
      </c>
      <c r="BC26" s="19" t="s">
        <v>186</v>
      </c>
      <c r="BD26" s="2"/>
      <c r="BE26" s="2"/>
      <c r="BF26" s="2">
        <v>236942</v>
      </c>
      <c r="BG26" s="2"/>
      <c r="BH26" s="2">
        <v>0</v>
      </c>
      <c r="BI26" s="2"/>
      <c r="BJ26" s="2">
        <v>0</v>
      </c>
      <c r="BK26" s="2"/>
      <c r="BL26" s="2">
        <v>0</v>
      </c>
      <c r="BM26" s="2"/>
      <c r="BN26" s="2">
        <f t="shared" si="1"/>
        <v>19349293</v>
      </c>
      <c r="BO26" s="2"/>
      <c r="BP26" s="2">
        <f>GenRev!AW25-BN26</f>
        <v>2361971</v>
      </c>
      <c r="BQ26" s="2"/>
      <c r="BR26" s="2">
        <v>20816496</v>
      </c>
      <c r="BS26" s="2"/>
      <c r="BT26" s="2">
        <v>0</v>
      </c>
      <c r="BU26" s="2"/>
      <c r="BV26" s="2">
        <f t="shared" si="4"/>
        <v>0</v>
      </c>
      <c r="BW26" s="2"/>
      <c r="BX26" s="2">
        <f t="shared" si="3"/>
        <v>23178467</v>
      </c>
      <c r="BY26" s="2"/>
      <c r="BZ26" s="36">
        <f>+BX26-GenBS!AC25</f>
        <v>0</v>
      </c>
      <c r="CC26" s="2"/>
    </row>
    <row r="27" spans="1:81" s="60" customFormat="1" ht="12">
      <c r="A27" s="13" t="s">
        <v>327</v>
      </c>
      <c r="C27" s="60" t="s">
        <v>183</v>
      </c>
      <c r="E27" s="60">
        <v>51029</v>
      </c>
      <c r="G27" s="13">
        <v>835887</v>
      </c>
      <c r="H27" s="13"/>
      <c r="I27" s="13">
        <v>530204</v>
      </c>
      <c r="J27" s="13"/>
      <c r="K27" s="13">
        <v>4779479</v>
      </c>
      <c r="L27" s="13"/>
      <c r="M27" s="13">
        <v>0</v>
      </c>
      <c r="N27" s="13"/>
      <c r="O27" s="13">
        <v>703997</v>
      </c>
      <c r="P27" s="13"/>
      <c r="Q27" s="13">
        <v>227030</v>
      </c>
      <c r="R27" s="13"/>
      <c r="S27" s="13">
        <v>61750</v>
      </c>
      <c r="T27" s="13"/>
      <c r="U27" s="13">
        <v>1365820</v>
      </c>
      <c r="V27" s="13"/>
      <c r="W27" s="13">
        <v>347365</v>
      </c>
      <c r="X27" s="13"/>
      <c r="Y27" s="13">
        <v>232446</v>
      </c>
      <c r="Z27" s="13"/>
      <c r="AA27" s="13">
        <v>1754428</v>
      </c>
      <c r="AB27" s="13" t="s">
        <v>327</v>
      </c>
      <c r="AD27" s="60" t="s">
        <v>183</v>
      </c>
      <c r="AF27" s="13">
        <v>19820</v>
      </c>
      <c r="AG27" s="13"/>
      <c r="AH27" s="13">
        <v>430167</v>
      </c>
      <c r="AI27" s="13"/>
      <c r="AJ27" s="13">
        <v>0</v>
      </c>
      <c r="AK27" s="13"/>
      <c r="AL27" s="13">
        <v>0</v>
      </c>
      <c r="AM27" s="13"/>
      <c r="AN27" s="13">
        <v>0</v>
      </c>
      <c r="AO27" s="13"/>
      <c r="AP27" s="13">
        <v>0</v>
      </c>
      <c r="AQ27" s="13"/>
      <c r="AR27" s="13">
        <v>210523</v>
      </c>
      <c r="AS27" s="13"/>
      <c r="AT27" s="13"/>
      <c r="AU27" s="13"/>
      <c r="AV27" s="13">
        <v>104000</v>
      </c>
      <c r="AW27" s="13"/>
      <c r="AX27" s="13">
        <v>72957</v>
      </c>
      <c r="AY27" s="13"/>
      <c r="AZ27" s="13">
        <f t="shared" si="0"/>
        <v>11675873</v>
      </c>
      <c r="BA27" s="13" t="s">
        <v>327</v>
      </c>
      <c r="BC27" s="60" t="s">
        <v>183</v>
      </c>
      <c r="BD27" s="13"/>
      <c r="BE27" s="13"/>
      <c r="BF27" s="13">
        <v>90951</v>
      </c>
      <c r="BG27" s="13"/>
      <c r="BH27" s="13">
        <v>0</v>
      </c>
      <c r="BI27" s="13"/>
      <c r="BJ27" s="13">
        <v>0</v>
      </c>
      <c r="BK27" s="13"/>
      <c r="BL27" s="13">
        <v>0</v>
      </c>
      <c r="BM27" s="13"/>
      <c r="BN27" s="13">
        <f t="shared" si="1"/>
        <v>11766824</v>
      </c>
      <c r="BO27" s="13"/>
      <c r="BP27" s="13">
        <f>GenRev!AW26-BN27</f>
        <v>75370</v>
      </c>
      <c r="BQ27" s="13"/>
      <c r="BR27" s="13">
        <v>5198013</v>
      </c>
      <c r="BS27" s="13"/>
      <c r="BT27" s="13">
        <v>448</v>
      </c>
      <c r="BU27" s="13"/>
      <c r="BV27" s="13">
        <f t="shared" si="4"/>
        <v>-448</v>
      </c>
      <c r="BW27" s="13"/>
      <c r="BX27" s="13">
        <f t="shared" si="3"/>
        <v>5272935</v>
      </c>
      <c r="BY27" s="13"/>
      <c r="BZ27" s="64">
        <f>+BX27-GenBS!AC26</f>
        <v>0</v>
      </c>
      <c r="CB27" s="13" t="s">
        <v>401</v>
      </c>
      <c r="CC27" s="13"/>
    </row>
    <row r="28" spans="1:81" s="19" customFormat="1" ht="12">
      <c r="A28" s="2" t="s">
        <v>329</v>
      </c>
      <c r="C28" s="19" t="s">
        <v>275</v>
      </c>
      <c r="E28" s="19">
        <v>50963</v>
      </c>
      <c r="G28" s="2">
        <v>70342</v>
      </c>
      <c r="H28" s="2"/>
      <c r="I28" s="2">
        <v>0</v>
      </c>
      <c r="J28" s="2"/>
      <c r="K28" s="2">
        <v>8071343</v>
      </c>
      <c r="L28" s="2"/>
      <c r="M28" s="2">
        <v>212019</v>
      </c>
      <c r="N28" s="2"/>
      <c r="O28" s="2">
        <v>1337260</v>
      </c>
      <c r="P28" s="2"/>
      <c r="Q28" s="2">
        <v>393404</v>
      </c>
      <c r="R28" s="2"/>
      <c r="S28" s="2">
        <v>55013</v>
      </c>
      <c r="T28" s="2"/>
      <c r="U28" s="2">
        <v>1387334</v>
      </c>
      <c r="V28" s="2"/>
      <c r="W28" s="2">
        <v>455069</v>
      </c>
      <c r="X28" s="2"/>
      <c r="Y28" s="2">
        <v>68773</v>
      </c>
      <c r="Z28" s="2"/>
      <c r="AA28" s="2">
        <v>1200350</v>
      </c>
      <c r="AB28" s="2" t="s">
        <v>329</v>
      </c>
      <c r="AD28" s="19" t="s">
        <v>275</v>
      </c>
      <c r="AF28" s="2">
        <v>21102</v>
      </c>
      <c r="AG28" s="2"/>
      <c r="AH28" s="2">
        <v>239947</v>
      </c>
      <c r="AI28" s="2"/>
      <c r="AJ28" s="2">
        <v>0</v>
      </c>
      <c r="AK28" s="2"/>
      <c r="AL28" s="2">
        <v>0</v>
      </c>
      <c r="AM28" s="2"/>
      <c r="AN28" s="2">
        <v>4605</v>
      </c>
      <c r="AO28" s="2"/>
      <c r="AP28" s="2">
        <v>70902</v>
      </c>
      <c r="AQ28" s="2"/>
      <c r="AR28" s="2">
        <v>0</v>
      </c>
      <c r="AS28" s="2"/>
      <c r="AT28" s="2"/>
      <c r="AU28" s="2"/>
      <c r="AV28" s="2">
        <v>0</v>
      </c>
      <c r="AW28" s="2"/>
      <c r="AX28" s="2">
        <v>0</v>
      </c>
      <c r="AY28" s="2"/>
      <c r="AZ28" s="2">
        <f t="shared" si="0"/>
        <v>13587463</v>
      </c>
      <c r="BA28" s="2" t="s">
        <v>329</v>
      </c>
      <c r="BC28" s="19" t="s">
        <v>275</v>
      </c>
      <c r="BD28" s="2"/>
      <c r="BE28" s="2"/>
      <c r="BF28" s="2">
        <v>50000</v>
      </c>
      <c r="BG28" s="2"/>
      <c r="BH28" s="2">
        <v>0</v>
      </c>
      <c r="BI28" s="2"/>
      <c r="BJ28" s="2">
        <v>0</v>
      </c>
      <c r="BK28" s="2"/>
      <c r="BL28" s="2">
        <v>0</v>
      </c>
      <c r="BM28" s="2"/>
      <c r="BN28" s="2">
        <f t="shared" si="1"/>
        <v>13637463</v>
      </c>
      <c r="BO28" s="2"/>
      <c r="BP28" s="2">
        <f>GenRev!AW27-BN28</f>
        <v>1065505</v>
      </c>
      <c r="BQ28" s="2"/>
      <c r="BR28" s="2">
        <v>10423085</v>
      </c>
      <c r="BS28" s="2"/>
      <c r="BT28" s="2">
        <v>0</v>
      </c>
      <c r="BU28" s="2"/>
      <c r="BV28" s="2">
        <f t="shared" si="4"/>
        <v>0</v>
      </c>
      <c r="BW28" s="2"/>
      <c r="BX28" s="2">
        <f t="shared" si="3"/>
        <v>11488590</v>
      </c>
      <c r="BY28" s="2"/>
      <c r="BZ28" s="36">
        <f>+BX28-GenBS!AC27</f>
        <v>0</v>
      </c>
      <c r="CC28" s="2"/>
    </row>
    <row r="29" spans="1:81" s="19" customFormat="1" ht="12">
      <c r="A29" s="2" t="s">
        <v>273</v>
      </c>
      <c r="C29" s="19" t="s">
        <v>189</v>
      </c>
      <c r="E29" s="19">
        <v>62067</v>
      </c>
      <c r="G29" s="2">
        <v>53572</v>
      </c>
      <c r="H29" s="2"/>
      <c r="I29" s="2">
        <v>0</v>
      </c>
      <c r="J29" s="2"/>
      <c r="K29" s="2">
        <v>4373383</v>
      </c>
      <c r="L29" s="2"/>
      <c r="M29" s="2">
        <v>0</v>
      </c>
      <c r="N29" s="2"/>
      <c r="O29" s="2">
        <v>357055</v>
      </c>
      <c r="P29" s="2"/>
      <c r="Q29" s="2">
        <v>335299</v>
      </c>
      <c r="R29" s="2"/>
      <c r="S29" s="2">
        <v>75716</v>
      </c>
      <c r="T29" s="2"/>
      <c r="U29" s="2">
        <v>456277</v>
      </c>
      <c r="V29" s="2"/>
      <c r="W29" s="2">
        <v>369087</v>
      </c>
      <c r="X29" s="2"/>
      <c r="Y29" s="2">
        <v>56208</v>
      </c>
      <c r="Z29" s="2"/>
      <c r="AA29" s="2">
        <v>862852</v>
      </c>
      <c r="AB29" s="2" t="s">
        <v>273</v>
      </c>
      <c r="AD29" s="19" t="s">
        <v>189</v>
      </c>
      <c r="AF29" s="2">
        <v>26207</v>
      </c>
      <c r="AG29" s="2"/>
      <c r="AH29" s="2">
        <v>254324</v>
      </c>
      <c r="AI29" s="2"/>
      <c r="AJ29" s="2">
        <v>0</v>
      </c>
      <c r="AK29" s="2"/>
      <c r="AL29" s="2">
        <v>0</v>
      </c>
      <c r="AM29" s="2"/>
      <c r="AN29" s="2">
        <v>0</v>
      </c>
      <c r="AO29" s="2"/>
      <c r="AP29" s="2">
        <v>8270</v>
      </c>
      <c r="AQ29" s="2"/>
      <c r="AR29" s="2">
        <v>0</v>
      </c>
      <c r="AS29" s="2"/>
      <c r="AT29" s="2"/>
      <c r="AU29" s="2"/>
      <c r="AV29" s="2">
        <v>204000</v>
      </c>
      <c r="AW29" s="2"/>
      <c r="AX29" s="2">
        <v>69217</v>
      </c>
      <c r="AY29" s="2"/>
      <c r="AZ29" s="2">
        <f t="shared" si="0"/>
        <v>7501467</v>
      </c>
      <c r="BA29" s="2" t="s">
        <v>273</v>
      </c>
      <c r="BC29" s="19" t="s">
        <v>189</v>
      </c>
      <c r="BD29" s="2"/>
      <c r="BE29" s="2"/>
      <c r="BF29" s="2">
        <v>185291</v>
      </c>
      <c r="BG29" s="2"/>
      <c r="BH29" s="2">
        <v>0</v>
      </c>
      <c r="BI29" s="2"/>
      <c r="BJ29" s="2">
        <v>0</v>
      </c>
      <c r="BK29" s="2"/>
      <c r="BL29" s="2">
        <v>0</v>
      </c>
      <c r="BM29" s="2"/>
      <c r="BN29" s="2">
        <f t="shared" si="1"/>
        <v>7686758</v>
      </c>
      <c r="BO29" s="2"/>
      <c r="BP29" s="2">
        <f>GenRev!AW28-BN29</f>
        <v>-139424</v>
      </c>
      <c r="BQ29" s="2"/>
      <c r="BR29" s="2">
        <v>1892590</v>
      </c>
      <c r="BS29" s="2"/>
      <c r="BT29" s="2">
        <v>0</v>
      </c>
      <c r="BU29" s="2"/>
      <c r="BV29" s="2">
        <f t="shared" si="2"/>
        <v>0</v>
      </c>
      <c r="BW29" s="2"/>
      <c r="BX29" s="2">
        <f t="shared" si="3"/>
        <v>1753166</v>
      </c>
      <c r="BY29" s="2"/>
      <c r="BZ29" s="36">
        <f>+BX29-GenBS!AC28</f>
        <v>0</v>
      </c>
      <c r="CC29" s="2"/>
    </row>
    <row r="30" spans="1:81" s="60" customFormat="1" ht="12">
      <c r="A30" s="13" t="s">
        <v>274</v>
      </c>
      <c r="C30" s="60" t="s">
        <v>195</v>
      </c>
      <c r="E30" s="60">
        <v>51060</v>
      </c>
      <c r="G30" s="13">
        <v>0</v>
      </c>
      <c r="H30" s="13"/>
      <c r="I30" s="13">
        <v>0</v>
      </c>
      <c r="J30" s="13"/>
      <c r="K30" s="13">
        <v>28633478</v>
      </c>
      <c r="L30" s="13"/>
      <c r="M30" s="13">
        <v>642770</v>
      </c>
      <c r="N30" s="13"/>
      <c r="O30" s="13">
        <v>2191572</v>
      </c>
      <c r="P30" s="13"/>
      <c r="Q30" s="13">
        <v>3489317</v>
      </c>
      <c r="R30" s="13"/>
      <c r="S30" s="13">
        <v>269101</v>
      </c>
      <c r="T30" s="13"/>
      <c r="U30" s="13">
        <v>3622806</v>
      </c>
      <c r="V30" s="13"/>
      <c r="W30" s="13">
        <v>2096722</v>
      </c>
      <c r="X30" s="13"/>
      <c r="Y30" s="13">
        <v>1044973</v>
      </c>
      <c r="Z30" s="13"/>
      <c r="AA30" s="13">
        <v>7045869</v>
      </c>
      <c r="AB30" s="13" t="s">
        <v>274</v>
      </c>
      <c r="AD30" s="60" t="s">
        <v>195</v>
      </c>
      <c r="AF30" s="13">
        <v>406017</v>
      </c>
      <c r="AG30" s="13"/>
      <c r="AH30" s="13">
        <v>1508676</v>
      </c>
      <c r="AI30" s="13"/>
      <c r="AJ30" s="13">
        <v>0</v>
      </c>
      <c r="AK30" s="13"/>
      <c r="AL30" s="13">
        <v>0</v>
      </c>
      <c r="AM30" s="13"/>
      <c r="AN30" s="13">
        <v>120190</v>
      </c>
      <c r="AO30" s="13"/>
      <c r="AP30" s="13">
        <v>0</v>
      </c>
      <c r="AQ30" s="13"/>
      <c r="AR30" s="13">
        <v>0</v>
      </c>
      <c r="AS30" s="13"/>
      <c r="AT30" s="13"/>
      <c r="AU30" s="13"/>
      <c r="AV30" s="13">
        <v>0</v>
      </c>
      <c r="AW30" s="13"/>
      <c r="AX30" s="13">
        <v>171809</v>
      </c>
      <c r="AY30" s="13"/>
      <c r="AZ30" s="13">
        <f t="shared" si="0"/>
        <v>51243300</v>
      </c>
      <c r="BA30" s="13" t="s">
        <v>274</v>
      </c>
      <c r="BC30" s="60" t="s">
        <v>195</v>
      </c>
      <c r="BD30" s="13"/>
      <c r="BE30" s="13"/>
      <c r="BF30" s="13">
        <v>21205597</v>
      </c>
      <c r="BG30" s="13"/>
      <c r="BH30" s="13">
        <v>0</v>
      </c>
      <c r="BI30" s="13"/>
      <c r="BJ30" s="13">
        <v>0</v>
      </c>
      <c r="BK30" s="13"/>
      <c r="BL30" s="13">
        <v>0</v>
      </c>
      <c r="BM30" s="13"/>
      <c r="BN30" s="13">
        <f t="shared" si="1"/>
        <v>72448897</v>
      </c>
      <c r="BO30" s="13"/>
      <c r="BP30" s="13">
        <f>GenRev!AW29-BN30</f>
        <v>-8087096</v>
      </c>
      <c r="BQ30" s="13"/>
      <c r="BR30" s="13">
        <v>62719772</v>
      </c>
      <c r="BS30" s="13"/>
      <c r="BT30" s="13">
        <v>0</v>
      </c>
      <c r="BU30" s="13"/>
      <c r="BV30" s="13">
        <f t="shared" si="2"/>
        <v>0</v>
      </c>
      <c r="BW30" s="13"/>
      <c r="BX30" s="13">
        <f t="shared" si="3"/>
        <v>54632676</v>
      </c>
      <c r="BY30" s="13"/>
      <c r="BZ30" s="64">
        <f>+BX30-GenBS!AC29</f>
        <v>0</v>
      </c>
      <c r="CB30" s="13" t="s">
        <v>401</v>
      </c>
      <c r="CC30" s="13"/>
    </row>
    <row r="31" spans="1:81" s="19" customFormat="1" ht="12">
      <c r="A31" s="2" t="s">
        <v>330</v>
      </c>
      <c r="C31" s="19" t="s">
        <v>193</v>
      </c>
      <c r="E31" s="19">
        <v>51045</v>
      </c>
      <c r="G31" s="2">
        <v>782645</v>
      </c>
      <c r="H31" s="2"/>
      <c r="I31" s="2">
        <v>0</v>
      </c>
      <c r="J31" s="2"/>
      <c r="K31" s="2">
        <v>6067263</v>
      </c>
      <c r="L31" s="2"/>
      <c r="M31" s="2">
        <v>0</v>
      </c>
      <c r="N31" s="2"/>
      <c r="O31" s="2">
        <v>781478</v>
      </c>
      <c r="P31" s="2"/>
      <c r="Q31" s="2">
        <v>1683034</v>
      </c>
      <c r="R31" s="2"/>
      <c r="S31" s="2">
        <v>79400</v>
      </c>
      <c r="T31" s="2"/>
      <c r="U31" s="2">
        <v>671568</v>
      </c>
      <c r="V31" s="2"/>
      <c r="W31" s="2">
        <v>456001</v>
      </c>
      <c r="X31" s="2"/>
      <c r="Y31" s="2">
        <v>0</v>
      </c>
      <c r="Z31" s="2"/>
      <c r="AA31" s="2">
        <v>1112517</v>
      </c>
      <c r="AB31" s="2" t="s">
        <v>330</v>
      </c>
      <c r="AD31" s="19" t="s">
        <v>193</v>
      </c>
      <c r="AF31" s="2">
        <v>0</v>
      </c>
      <c r="AG31" s="2"/>
      <c r="AH31" s="2">
        <v>234746</v>
      </c>
      <c r="AI31" s="2"/>
      <c r="AJ31" s="2">
        <v>0</v>
      </c>
      <c r="AK31" s="2"/>
      <c r="AL31" s="2">
        <v>0</v>
      </c>
      <c r="AM31" s="2"/>
      <c r="AN31" s="2">
        <v>7957</v>
      </c>
      <c r="AO31" s="2"/>
      <c r="AP31" s="2">
        <v>0</v>
      </c>
      <c r="AQ31" s="2"/>
      <c r="AR31" s="2">
        <v>0</v>
      </c>
      <c r="AS31" s="2"/>
      <c r="AT31" s="2"/>
      <c r="AU31" s="2"/>
      <c r="AV31" s="2">
        <v>17605</v>
      </c>
      <c r="AW31" s="2"/>
      <c r="AX31" s="2">
        <v>1487</v>
      </c>
      <c r="AY31" s="2"/>
      <c r="AZ31" s="2">
        <f t="shared" si="0"/>
        <v>11895701</v>
      </c>
      <c r="BA31" s="2" t="s">
        <v>330</v>
      </c>
      <c r="BC31" s="19" t="s">
        <v>193</v>
      </c>
      <c r="BD31" s="2"/>
      <c r="BE31" s="2"/>
      <c r="BF31" s="2">
        <v>44012</v>
      </c>
      <c r="BG31" s="2"/>
      <c r="BH31" s="2">
        <v>0</v>
      </c>
      <c r="BI31" s="2"/>
      <c r="BJ31" s="2">
        <v>0</v>
      </c>
      <c r="BK31" s="2"/>
      <c r="BL31" s="2">
        <v>0</v>
      </c>
      <c r="BM31" s="2"/>
      <c r="BN31" s="2">
        <f t="shared" si="1"/>
        <v>11939713</v>
      </c>
      <c r="BO31" s="2"/>
      <c r="BP31" s="2">
        <f>GenRev!AW30-BN31</f>
        <v>791509</v>
      </c>
      <c r="BQ31" s="2"/>
      <c r="BR31" s="2">
        <v>2194684</v>
      </c>
      <c r="BS31" s="2"/>
      <c r="BT31" s="2">
        <v>0</v>
      </c>
      <c r="BU31" s="2"/>
      <c r="BV31" s="2">
        <f t="shared" si="2"/>
        <v>0</v>
      </c>
      <c r="BW31" s="2"/>
      <c r="BX31" s="2">
        <f t="shared" si="3"/>
        <v>2986193</v>
      </c>
      <c r="BY31" s="2"/>
      <c r="BZ31" s="36">
        <f>+BX31-GenBS!AC30</f>
        <v>0</v>
      </c>
      <c r="CC31" s="2"/>
    </row>
    <row r="32" spans="1:81" s="19" customFormat="1" ht="12">
      <c r="A32" s="2" t="s">
        <v>276</v>
      </c>
      <c r="C32" s="19" t="s">
        <v>200</v>
      </c>
      <c r="E32" s="19">
        <v>51128</v>
      </c>
      <c r="G32" s="2">
        <v>330274</v>
      </c>
      <c r="H32" s="2"/>
      <c r="I32" s="2">
        <v>223739</v>
      </c>
      <c r="J32" s="2"/>
      <c r="K32" s="2">
        <v>2689209</v>
      </c>
      <c r="L32" s="2"/>
      <c r="M32" s="2">
        <v>4970</v>
      </c>
      <c r="N32" s="2"/>
      <c r="O32" s="2">
        <v>201598</v>
      </c>
      <c r="P32" s="2"/>
      <c r="Q32" s="2">
        <v>289526</v>
      </c>
      <c r="R32" s="2"/>
      <c r="S32" s="2">
        <v>42417</v>
      </c>
      <c r="T32" s="2"/>
      <c r="U32" s="2">
        <v>213082</v>
      </c>
      <c r="V32" s="2"/>
      <c r="W32" s="2">
        <v>224112</v>
      </c>
      <c r="X32" s="2"/>
      <c r="Y32" s="2">
        <v>0</v>
      </c>
      <c r="Z32" s="2"/>
      <c r="AA32" s="2">
        <v>607593</v>
      </c>
      <c r="AB32" s="2" t="s">
        <v>276</v>
      </c>
      <c r="AD32" s="19" t="s">
        <v>200</v>
      </c>
      <c r="AF32" s="2">
        <v>0</v>
      </c>
      <c r="AG32" s="2"/>
      <c r="AH32" s="2">
        <v>4165</v>
      </c>
      <c r="AI32" s="2"/>
      <c r="AJ32" s="2">
        <v>0</v>
      </c>
      <c r="AK32" s="2"/>
      <c r="AL32" s="2">
        <v>0</v>
      </c>
      <c r="AM32" s="2"/>
      <c r="AN32" s="2">
        <v>0</v>
      </c>
      <c r="AO32" s="2"/>
      <c r="AP32" s="2">
        <v>0</v>
      </c>
      <c r="AQ32" s="2"/>
      <c r="AR32" s="2">
        <v>0</v>
      </c>
      <c r="AS32" s="2"/>
      <c r="AT32" s="2"/>
      <c r="AU32" s="2"/>
      <c r="AV32" s="2">
        <v>0</v>
      </c>
      <c r="AW32" s="2"/>
      <c r="AX32" s="2">
        <v>1282</v>
      </c>
      <c r="AY32" s="2"/>
      <c r="AZ32" s="2">
        <f t="shared" si="0"/>
        <v>4831967</v>
      </c>
      <c r="BA32" s="2" t="s">
        <v>276</v>
      </c>
      <c r="BC32" s="19" t="s">
        <v>200</v>
      </c>
      <c r="BD32" s="2"/>
      <c r="BE32" s="2"/>
      <c r="BF32" s="2">
        <v>48436</v>
      </c>
      <c r="BG32" s="2"/>
      <c r="BH32" s="2">
        <v>0</v>
      </c>
      <c r="BI32" s="2"/>
      <c r="BJ32" s="2">
        <v>0</v>
      </c>
      <c r="BK32" s="2"/>
      <c r="BL32" s="2">
        <v>0</v>
      </c>
      <c r="BM32" s="2"/>
      <c r="BN32" s="2">
        <f t="shared" si="1"/>
        <v>4880403</v>
      </c>
      <c r="BO32" s="2"/>
      <c r="BP32" s="2">
        <f>GenRev!AW31-BN32</f>
        <v>-28881</v>
      </c>
      <c r="BQ32" s="2"/>
      <c r="BR32" s="2">
        <v>-125928</v>
      </c>
      <c r="BS32" s="2"/>
      <c r="BT32" s="2">
        <v>0</v>
      </c>
      <c r="BU32" s="2"/>
      <c r="BV32" s="2">
        <f t="shared" si="2"/>
        <v>0</v>
      </c>
      <c r="BW32" s="2"/>
      <c r="BX32" s="2">
        <f t="shared" si="3"/>
        <v>-154809</v>
      </c>
      <c r="BY32" s="2"/>
      <c r="BZ32" s="36">
        <f>+BX32-GenBS!AC31</f>
        <v>0</v>
      </c>
      <c r="CC32" s="2"/>
    </row>
    <row r="33" spans="1:81" s="19" customFormat="1" ht="12">
      <c r="A33" s="2" t="s">
        <v>331</v>
      </c>
      <c r="C33" s="19" t="s">
        <v>202</v>
      </c>
      <c r="E33" s="19">
        <v>51144</v>
      </c>
      <c r="G33" s="2">
        <v>74041</v>
      </c>
      <c r="H33" s="2"/>
      <c r="I33" s="2">
        <v>0</v>
      </c>
      <c r="J33" s="2"/>
      <c r="K33" s="2">
        <v>4933519</v>
      </c>
      <c r="L33" s="2"/>
      <c r="M33" s="2">
        <v>0</v>
      </c>
      <c r="N33" s="2"/>
      <c r="O33" s="2">
        <v>505674</v>
      </c>
      <c r="P33" s="2"/>
      <c r="Q33" s="2">
        <v>540263</v>
      </c>
      <c r="R33" s="2"/>
      <c r="S33" s="2">
        <v>15603</v>
      </c>
      <c r="T33" s="2"/>
      <c r="U33" s="2">
        <v>556953</v>
      </c>
      <c r="V33" s="2"/>
      <c r="W33" s="2">
        <v>404453</v>
      </c>
      <c r="X33" s="2"/>
      <c r="Y33" s="2">
        <v>52051</v>
      </c>
      <c r="Z33" s="2"/>
      <c r="AA33" s="2">
        <v>1037414</v>
      </c>
      <c r="AB33" s="2" t="s">
        <v>331</v>
      </c>
      <c r="AD33" s="19" t="s">
        <v>202</v>
      </c>
      <c r="AF33" s="2">
        <v>0</v>
      </c>
      <c r="AG33" s="2"/>
      <c r="AH33" s="2">
        <v>10473</v>
      </c>
      <c r="AI33" s="2"/>
      <c r="AJ33" s="2">
        <v>0</v>
      </c>
      <c r="AK33" s="2"/>
      <c r="AL33" s="2">
        <v>0</v>
      </c>
      <c r="AM33" s="2"/>
      <c r="AN33" s="2">
        <v>0</v>
      </c>
      <c r="AO33" s="2"/>
      <c r="AP33" s="2">
        <v>38346</v>
      </c>
      <c r="AQ33" s="2"/>
      <c r="AR33" s="2">
        <v>0</v>
      </c>
      <c r="AS33" s="2"/>
      <c r="AT33" s="2"/>
      <c r="AU33" s="2"/>
      <c r="AV33" s="2">
        <v>203093</v>
      </c>
      <c r="AW33" s="2"/>
      <c r="AX33" s="2">
        <v>237957</v>
      </c>
      <c r="AY33" s="2"/>
      <c r="AZ33" s="2">
        <f t="shared" si="0"/>
        <v>8609840</v>
      </c>
      <c r="BA33" s="2" t="s">
        <v>331</v>
      </c>
      <c r="BC33" s="19" t="s">
        <v>202</v>
      </c>
      <c r="BD33" s="2"/>
      <c r="BE33" s="2"/>
      <c r="BF33" s="2">
        <v>405091</v>
      </c>
      <c r="BG33" s="2"/>
      <c r="BH33" s="2">
        <v>0</v>
      </c>
      <c r="BI33" s="2"/>
      <c r="BJ33" s="2">
        <v>0</v>
      </c>
      <c r="BK33" s="2"/>
      <c r="BL33" s="2">
        <v>0</v>
      </c>
      <c r="BM33" s="2"/>
      <c r="BN33" s="2">
        <f t="shared" si="1"/>
        <v>9014931</v>
      </c>
      <c r="BO33" s="2"/>
      <c r="BP33" s="2">
        <f>GenRev!AW32-BN33</f>
        <v>1544166</v>
      </c>
      <c r="BQ33" s="2"/>
      <c r="BR33" s="2">
        <v>10639409</v>
      </c>
      <c r="BS33" s="2"/>
      <c r="BT33" s="2">
        <v>0</v>
      </c>
      <c r="BU33" s="2"/>
      <c r="BV33" s="2">
        <f t="shared" si="2"/>
        <v>0</v>
      </c>
      <c r="BW33" s="2"/>
      <c r="BX33" s="2">
        <f t="shared" si="3"/>
        <v>12183575</v>
      </c>
      <c r="BY33" s="2"/>
      <c r="BZ33" s="36">
        <f>+BX33-GenBS!AC32</f>
        <v>0</v>
      </c>
      <c r="CC33" s="2"/>
    </row>
    <row r="34" spans="1:81" s="19" customFormat="1" ht="12">
      <c r="A34" s="2" t="s">
        <v>278</v>
      </c>
      <c r="C34" s="19" t="s">
        <v>205</v>
      </c>
      <c r="E34" s="19">
        <v>51185</v>
      </c>
      <c r="G34" s="2">
        <v>0</v>
      </c>
      <c r="H34" s="2"/>
      <c r="I34" s="2">
        <v>0</v>
      </c>
      <c r="J34" s="2"/>
      <c r="K34" s="2">
        <v>4611082</v>
      </c>
      <c r="L34" s="2"/>
      <c r="M34" s="2">
        <v>7930</v>
      </c>
      <c r="N34" s="2"/>
      <c r="O34" s="2">
        <v>230101</v>
      </c>
      <c r="P34" s="2"/>
      <c r="Q34" s="2">
        <v>17250</v>
      </c>
      <c r="R34" s="2"/>
      <c r="S34" s="2">
        <v>42290</v>
      </c>
      <c r="T34" s="2"/>
      <c r="U34" s="2">
        <v>547047</v>
      </c>
      <c r="V34" s="2"/>
      <c r="W34" s="2">
        <v>329851</v>
      </c>
      <c r="X34" s="2"/>
      <c r="Y34" s="2">
        <v>0</v>
      </c>
      <c r="Z34" s="2"/>
      <c r="AA34" s="2">
        <v>620481</v>
      </c>
      <c r="AB34" s="2" t="s">
        <v>278</v>
      </c>
      <c r="AD34" s="19" t="s">
        <v>205</v>
      </c>
      <c r="AF34" s="2">
        <v>0</v>
      </c>
      <c r="AG34" s="2"/>
      <c r="AH34" s="2">
        <v>66510</v>
      </c>
      <c r="AI34" s="2"/>
      <c r="AJ34" s="2">
        <v>0</v>
      </c>
      <c r="AK34" s="2"/>
      <c r="AL34" s="2">
        <v>0</v>
      </c>
      <c r="AM34" s="2"/>
      <c r="AN34" s="2">
        <v>0</v>
      </c>
      <c r="AO34" s="2"/>
      <c r="AP34" s="2">
        <v>59438</v>
      </c>
      <c r="AQ34" s="2"/>
      <c r="AR34" s="2">
        <v>0</v>
      </c>
      <c r="AS34" s="2"/>
      <c r="AT34" s="2"/>
      <c r="AU34" s="2"/>
      <c r="AV34" s="2">
        <v>0</v>
      </c>
      <c r="AW34" s="2"/>
      <c r="AX34" s="2">
        <v>0</v>
      </c>
      <c r="AY34" s="2"/>
      <c r="AZ34" s="2">
        <f t="shared" si="0"/>
        <v>6531980</v>
      </c>
      <c r="BA34" s="2" t="s">
        <v>278</v>
      </c>
      <c r="BC34" s="19" t="s">
        <v>205</v>
      </c>
      <c r="BD34" s="2"/>
      <c r="BE34" s="2"/>
      <c r="BF34" s="2">
        <v>140022</v>
      </c>
      <c r="BG34" s="2"/>
      <c r="BH34" s="2">
        <v>0</v>
      </c>
      <c r="BI34" s="2"/>
      <c r="BJ34" s="2">
        <v>0</v>
      </c>
      <c r="BK34" s="2"/>
      <c r="BL34" s="2">
        <v>0</v>
      </c>
      <c r="BM34" s="2"/>
      <c r="BN34" s="2">
        <f t="shared" si="1"/>
        <v>6672002</v>
      </c>
      <c r="BO34" s="2"/>
      <c r="BP34" s="2">
        <f>GenRev!AW33-BN34</f>
        <v>282268</v>
      </c>
      <c r="BQ34" s="2"/>
      <c r="BR34" s="2">
        <v>3796467</v>
      </c>
      <c r="BS34" s="2"/>
      <c r="BT34" s="2">
        <v>0</v>
      </c>
      <c r="BU34" s="2"/>
      <c r="BV34" s="2">
        <f t="shared" si="2"/>
        <v>0</v>
      </c>
      <c r="BW34" s="2"/>
      <c r="BX34" s="2">
        <f t="shared" si="3"/>
        <v>4078735</v>
      </c>
      <c r="BY34" s="2"/>
      <c r="BZ34" s="36">
        <f>+BX34-GenBS!AC33</f>
        <v>0</v>
      </c>
      <c r="CC34" s="2"/>
    </row>
    <row r="35" spans="1:81" s="71" customFormat="1" ht="12" hidden="1">
      <c r="A35" s="69" t="s">
        <v>362</v>
      </c>
      <c r="C35" s="71" t="s">
        <v>207</v>
      </c>
      <c r="E35" s="71">
        <v>47977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 t="s">
        <v>362</v>
      </c>
      <c r="AD35" s="71" t="s">
        <v>207</v>
      </c>
      <c r="AF35" s="69"/>
      <c r="AG35" s="69"/>
      <c r="AH35" s="69"/>
      <c r="AI35" s="69"/>
      <c r="AJ35" s="69">
        <v>0</v>
      </c>
      <c r="AK35" s="69"/>
      <c r="AL35" s="69">
        <v>0</v>
      </c>
      <c r="AM35" s="69"/>
      <c r="AN35" s="69">
        <v>0</v>
      </c>
      <c r="AO35" s="69"/>
      <c r="AP35" s="69">
        <v>0</v>
      </c>
      <c r="AQ35" s="69"/>
      <c r="AR35" s="69"/>
      <c r="AS35" s="69"/>
      <c r="AT35" s="69"/>
      <c r="AU35" s="69"/>
      <c r="AV35" s="69"/>
      <c r="AW35" s="69"/>
      <c r="AX35" s="69"/>
      <c r="AY35" s="69"/>
      <c r="AZ35" s="69">
        <f t="shared" si="0"/>
        <v>0</v>
      </c>
      <c r="BA35" s="69" t="s">
        <v>362</v>
      </c>
      <c r="BC35" s="71" t="s">
        <v>207</v>
      </c>
      <c r="BD35" s="69"/>
      <c r="BE35" s="69"/>
      <c r="BF35" s="69"/>
      <c r="BG35" s="69"/>
      <c r="BH35" s="69">
        <v>0</v>
      </c>
      <c r="BI35" s="69"/>
      <c r="BJ35" s="69">
        <v>0</v>
      </c>
      <c r="BK35" s="69"/>
      <c r="BL35" s="69">
        <v>0</v>
      </c>
      <c r="BM35" s="69"/>
      <c r="BN35" s="69">
        <f t="shared" si="1"/>
        <v>0</v>
      </c>
      <c r="BO35" s="69"/>
      <c r="BP35" s="69">
        <f>GenRev!AW34-BN35</f>
        <v>0</v>
      </c>
      <c r="BQ35" s="69"/>
      <c r="BR35" s="69"/>
      <c r="BS35" s="69"/>
      <c r="BT35" s="69">
        <v>0</v>
      </c>
      <c r="BU35" s="69"/>
      <c r="BV35" s="69">
        <f t="shared" si="2"/>
        <v>0</v>
      </c>
      <c r="BW35" s="69"/>
      <c r="BX35" s="69">
        <f t="shared" si="3"/>
        <v>0</v>
      </c>
      <c r="BY35" s="69"/>
      <c r="BZ35" s="78">
        <f>+BX35-GenBS!AC34</f>
        <v>0</v>
      </c>
      <c r="CB35" s="93" t="s">
        <v>404</v>
      </c>
      <c r="CC35" s="69"/>
    </row>
    <row r="36" spans="1:81" s="19" customFormat="1" ht="12">
      <c r="A36" s="2" t="s">
        <v>280</v>
      </c>
      <c r="C36" s="19" t="s">
        <v>154</v>
      </c>
      <c r="E36" s="19">
        <v>51227</v>
      </c>
      <c r="G36" s="2">
        <v>1805390</v>
      </c>
      <c r="H36" s="2"/>
      <c r="I36" s="2">
        <v>4203</v>
      </c>
      <c r="J36" s="2"/>
      <c r="K36" s="2">
        <v>10002572</v>
      </c>
      <c r="L36" s="2"/>
      <c r="M36" s="2">
        <v>0</v>
      </c>
      <c r="N36" s="2"/>
      <c r="O36" s="2">
        <v>1163836</v>
      </c>
      <c r="P36" s="2"/>
      <c r="Q36" s="2">
        <v>1588862</v>
      </c>
      <c r="R36" s="2"/>
      <c r="S36" s="2">
        <v>41298</v>
      </c>
      <c r="T36" s="2"/>
      <c r="U36" s="2">
        <v>1453748</v>
      </c>
      <c r="V36" s="2"/>
      <c r="W36" s="2">
        <v>735609</v>
      </c>
      <c r="X36" s="2"/>
      <c r="Y36" s="2">
        <v>153414</v>
      </c>
      <c r="Z36" s="2"/>
      <c r="AA36" s="2">
        <v>2627901</v>
      </c>
      <c r="AB36" s="2" t="s">
        <v>280</v>
      </c>
      <c r="AD36" s="19" t="s">
        <v>154</v>
      </c>
      <c r="AF36" s="2">
        <v>60305</v>
      </c>
      <c r="AG36" s="2"/>
      <c r="AH36" s="2">
        <v>345085</v>
      </c>
      <c r="AI36" s="2"/>
      <c r="AJ36" s="2">
        <v>0</v>
      </c>
      <c r="AK36" s="2"/>
      <c r="AL36" s="2">
        <v>72074</v>
      </c>
      <c r="AM36" s="2"/>
      <c r="AN36" s="2">
        <v>0</v>
      </c>
      <c r="AO36" s="2"/>
      <c r="AP36" s="2">
        <v>306125</v>
      </c>
      <c r="AQ36" s="2"/>
      <c r="AR36" s="2">
        <v>57809</v>
      </c>
      <c r="AS36" s="2"/>
      <c r="AT36" s="2"/>
      <c r="AU36" s="2"/>
      <c r="AV36" s="2">
        <v>0</v>
      </c>
      <c r="AW36" s="2"/>
      <c r="AX36" s="2">
        <v>0</v>
      </c>
      <c r="AY36" s="2"/>
      <c r="AZ36" s="2">
        <f t="shared" si="0"/>
        <v>20418231</v>
      </c>
      <c r="BA36" s="2" t="s">
        <v>280</v>
      </c>
      <c r="BC36" s="19" t="s">
        <v>154</v>
      </c>
      <c r="BD36" s="2"/>
      <c r="BE36" s="2"/>
      <c r="BF36" s="2">
        <v>825000</v>
      </c>
      <c r="BG36" s="2"/>
      <c r="BH36" s="2">
        <v>0</v>
      </c>
      <c r="BI36" s="2"/>
      <c r="BJ36" s="2">
        <v>0</v>
      </c>
      <c r="BK36" s="2"/>
      <c r="BL36" s="2">
        <v>50000</v>
      </c>
      <c r="BM36" s="2"/>
      <c r="BN36" s="2">
        <f t="shared" si="1"/>
        <v>21293231</v>
      </c>
      <c r="BO36" s="2"/>
      <c r="BP36" s="2">
        <f>GenRev!AW35-BN36</f>
        <v>-781658</v>
      </c>
      <c r="BQ36" s="2"/>
      <c r="BR36" s="2">
        <v>7556962</v>
      </c>
      <c r="BS36" s="2"/>
      <c r="BT36" s="2">
        <v>0</v>
      </c>
      <c r="BU36" s="2"/>
      <c r="BV36" s="2">
        <f t="shared" si="2"/>
        <v>0</v>
      </c>
      <c r="BW36" s="2"/>
      <c r="BX36" s="2">
        <f t="shared" si="3"/>
        <v>6775304</v>
      </c>
      <c r="BY36" s="2"/>
      <c r="BZ36" s="36">
        <f>+BX36-GenBS!AC35</f>
        <v>0</v>
      </c>
      <c r="CC36" s="2"/>
    </row>
    <row r="37" spans="1:81" s="19" customFormat="1" ht="12">
      <c r="A37" s="2" t="s">
        <v>283</v>
      </c>
      <c r="C37" s="19" t="s">
        <v>214</v>
      </c>
      <c r="E37" s="19">
        <v>51243</v>
      </c>
      <c r="G37" s="2">
        <v>1293242</v>
      </c>
      <c r="H37" s="2"/>
      <c r="I37" s="2">
        <v>0</v>
      </c>
      <c r="J37" s="2"/>
      <c r="K37" s="2">
        <v>3345291</v>
      </c>
      <c r="L37" s="2"/>
      <c r="M37" s="2">
        <v>0</v>
      </c>
      <c r="N37" s="2"/>
      <c r="O37" s="2">
        <v>851348</v>
      </c>
      <c r="P37" s="2"/>
      <c r="Q37" s="2">
        <v>1112888</v>
      </c>
      <c r="R37" s="2"/>
      <c r="S37" s="2">
        <v>62347</v>
      </c>
      <c r="T37" s="2"/>
      <c r="U37" s="2">
        <v>684267</v>
      </c>
      <c r="V37" s="2"/>
      <c r="W37" s="2">
        <v>388987</v>
      </c>
      <c r="X37" s="2"/>
      <c r="Y37" s="2">
        <v>1172</v>
      </c>
      <c r="Z37" s="2"/>
      <c r="AA37" s="2">
        <v>1077440</v>
      </c>
      <c r="AB37" s="2" t="s">
        <v>283</v>
      </c>
      <c r="AD37" s="19" t="s">
        <v>214</v>
      </c>
      <c r="AF37" s="2">
        <v>35425</v>
      </c>
      <c r="AG37" s="2"/>
      <c r="AH37" s="2">
        <v>152348</v>
      </c>
      <c r="AI37" s="2"/>
      <c r="AJ37" s="2">
        <v>0</v>
      </c>
      <c r="AK37" s="2"/>
      <c r="AL37" s="2">
        <v>0</v>
      </c>
      <c r="AM37" s="2"/>
      <c r="AN37" s="2">
        <v>14675</v>
      </c>
      <c r="AO37" s="2"/>
      <c r="AP37" s="2">
        <v>72023</v>
      </c>
      <c r="AQ37" s="2"/>
      <c r="AR37" s="2">
        <v>105273</v>
      </c>
      <c r="AS37" s="2"/>
      <c r="AT37" s="2"/>
      <c r="AU37" s="2"/>
      <c r="AV37" s="2">
        <v>0</v>
      </c>
      <c r="AW37" s="2"/>
      <c r="AX37" s="2">
        <v>438544</v>
      </c>
      <c r="AY37" s="2"/>
      <c r="AZ37" s="2">
        <f t="shared" si="0"/>
        <v>9635270</v>
      </c>
      <c r="BA37" s="2" t="s">
        <v>283</v>
      </c>
      <c r="BC37" s="19" t="s">
        <v>214</v>
      </c>
      <c r="BD37" s="2"/>
      <c r="BE37" s="2"/>
      <c r="BF37" s="2">
        <v>1784008</v>
      </c>
      <c r="BG37" s="2"/>
      <c r="BH37" s="2">
        <v>0</v>
      </c>
      <c r="BI37" s="2"/>
      <c r="BJ37" s="2">
        <v>0</v>
      </c>
      <c r="BK37" s="2"/>
      <c r="BL37" s="2">
        <v>0</v>
      </c>
      <c r="BM37" s="2"/>
      <c r="BN37" s="2">
        <f t="shared" si="1"/>
        <v>11419278</v>
      </c>
      <c r="BO37" s="2"/>
      <c r="BP37" s="2">
        <f>GenRev!AW36-BN37</f>
        <v>837896</v>
      </c>
      <c r="BQ37" s="2"/>
      <c r="BR37" s="2">
        <v>17069314</v>
      </c>
      <c r="BS37" s="2"/>
      <c r="BT37" s="2">
        <v>0</v>
      </c>
      <c r="BU37" s="2"/>
      <c r="BV37" s="2">
        <f t="shared" si="2"/>
        <v>0</v>
      </c>
      <c r="BW37" s="2"/>
      <c r="BX37" s="2">
        <f t="shared" si="3"/>
        <v>17907210</v>
      </c>
      <c r="BY37" s="2"/>
      <c r="BZ37" s="36">
        <f>+BX37-GenBS!AC36</f>
        <v>0</v>
      </c>
      <c r="CC37" s="2"/>
    </row>
    <row r="38" spans="1:81" s="19" customFormat="1" ht="12">
      <c r="A38" s="2" t="s">
        <v>332</v>
      </c>
      <c r="C38" s="19" t="s">
        <v>230</v>
      </c>
      <c r="E38" s="19">
        <v>51391</v>
      </c>
      <c r="G38" s="2">
        <v>1171963</v>
      </c>
      <c r="H38" s="2"/>
      <c r="I38" s="2">
        <v>0</v>
      </c>
      <c r="J38" s="2"/>
      <c r="K38" s="2">
        <v>4244737</v>
      </c>
      <c r="L38" s="2"/>
      <c r="M38" s="2">
        <v>0</v>
      </c>
      <c r="N38" s="2"/>
      <c r="O38" s="2">
        <v>778892</v>
      </c>
      <c r="P38" s="2"/>
      <c r="Q38" s="2">
        <v>425712</v>
      </c>
      <c r="R38" s="2"/>
      <c r="S38" s="2">
        <v>94954</v>
      </c>
      <c r="T38" s="2"/>
      <c r="U38" s="2">
        <v>611475</v>
      </c>
      <c r="V38" s="2"/>
      <c r="W38" s="2">
        <v>483448</v>
      </c>
      <c r="X38" s="2"/>
      <c r="Y38" s="2">
        <v>223535</v>
      </c>
      <c r="Z38" s="2"/>
      <c r="AA38" s="2">
        <v>1480130</v>
      </c>
      <c r="AB38" s="2" t="s">
        <v>332</v>
      </c>
      <c r="AD38" s="19" t="s">
        <v>230</v>
      </c>
      <c r="AF38" s="2">
        <v>14273</v>
      </c>
      <c r="AG38" s="2"/>
      <c r="AH38" s="2">
        <v>416216</v>
      </c>
      <c r="AI38" s="2"/>
      <c r="AJ38" s="2">
        <v>0</v>
      </c>
      <c r="AK38" s="2"/>
      <c r="AL38" s="2">
        <v>2099</v>
      </c>
      <c r="AM38" s="2"/>
      <c r="AN38" s="2">
        <v>21096</v>
      </c>
      <c r="AO38" s="2"/>
      <c r="AP38" s="2">
        <v>19972</v>
      </c>
      <c r="AQ38" s="2"/>
      <c r="AR38" s="2">
        <v>1098796</v>
      </c>
      <c r="AS38" s="2"/>
      <c r="AT38" s="2"/>
      <c r="AU38" s="2"/>
      <c r="AV38" s="2">
        <v>0</v>
      </c>
      <c r="AW38" s="2"/>
      <c r="AX38" s="2">
        <v>0</v>
      </c>
      <c r="AY38" s="2"/>
      <c r="AZ38" s="2">
        <f t="shared" si="0"/>
        <v>11087298</v>
      </c>
      <c r="BA38" s="2" t="s">
        <v>332</v>
      </c>
      <c r="BC38" s="19" t="s">
        <v>230</v>
      </c>
      <c r="BD38" s="2"/>
      <c r="BE38" s="2"/>
      <c r="BF38" s="2">
        <v>4561</v>
      </c>
      <c r="BG38" s="2"/>
      <c r="BH38" s="2">
        <v>0</v>
      </c>
      <c r="BI38" s="2"/>
      <c r="BJ38" s="2">
        <v>0</v>
      </c>
      <c r="BK38" s="2"/>
      <c r="BL38" s="2">
        <v>0</v>
      </c>
      <c r="BM38" s="2"/>
      <c r="BN38" s="2">
        <f t="shared" si="1"/>
        <v>11091859</v>
      </c>
      <c r="BO38" s="2"/>
      <c r="BP38" s="2">
        <f>GenRev!AW37-BN38</f>
        <v>1955434</v>
      </c>
      <c r="BQ38" s="2"/>
      <c r="BR38" s="2">
        <v>17473590</v>
      </c>
      <c r="BS38" s="2"/>
      <c r="BT38" s="2">
        <v>0</v>
      </c>
      <c r="BU38" s="2"/>
      <c r="BV38" s="2">
        <f t="shared" si="2"/>
        <v>0</v>
      </c>
      <c r="BW38" s="2"/>
      <c r="BX38" s="2">
        <f t="shared" si="3"/>
        <v>19429024</v>
      </c>
      <c r="BY38" s="2"/>
      <c r="BZ38" s="36">
        <f>+BX38-GenBS!AC37</f>
        <v>0</v>
      </c>
      <c r="CC38" s="2"/>
    </row>
    <row r="39" spans="1:81" s="19" customFormat="1" ht="12">
      <c r="A39" s="2" t="s">
        <v>286</v>
      </c>
      <c r="C39" s="19" t="s">
        <v>216</v>
      </c>
      <c r="E39" s="19">
        <v>62109</v>
      </c>
      <c r="G39" s="2">
        <v>2328005</v>
      </c>
      <c r="H39" s="2"/>
      <c r="I39" s="2">
        <v>448150</v>
      </c>
      <c r="J39" s="2"/>
      <c r="K39" s="2">
        <v>5165336</v>
      </c>
      <c r="L39" s="2"/>
      <c r="M39" s="2">
        <v>37859</v>
      </c>
      <c r="N39" s="2"/>
      <c r="O39" s="2">
        <v>1458297</v>
      </c>
      <c r="P39" s="2"/>
      <c r="Q39" s="2">
        <v>592303</v>
      </c>
      <c r="R39" s="2"/>
      <c r="S39" s="2">
        <v>38601</v>
      </c>
      <c r="T39" s="2"/>
      <c r="U39" s="2">
        <v>1534938</v>
      </c>
      <c r="V39" s="2"/>
      <c r="W39" s="2">
        <v>533832</v>
      </c>
      <c r="X39" s="2"/>
      <c r="Y39" s="2">
        <v>245336</v>
      </c>
      <c r="Z39" s="2"/>
      <c r="AA39" s="2">
        <v>1882323</v>
      </c>
      <c r="AB39" s="2" t="s">
        <v>286</v>
      </c>
      <c r="AD39" s="19" t="s">
        <v>216</v>
      </c>
      <c r="AF39" s="2">
        <v>38853</v>
      </c>
      <c r="AG39" s="2"/>
      <c r="AH39" s="2">
        <v>271127</v>
      </c>
      <c r="AI39" s="2"/>
      <c r="AJ39" s="2">
        <v>0</v>
      </c>
      <c r="AK39" s="2"/>
      <c r="AL39" s="2">
        <v>0</v>
      </c>
      <c r="AM39" s="2"/>
      <c r="AN39" s="2">
        <v>112010</v>
      </c>
      <c r="AO39" s="2"/>
      <c r="AP39" s="2">
        <v>0</v>
      </c>
      <c r="AQ39" s="2"/>
      <c r="AR39" s="2">
        <v>50902</v>
      </c>
      <c r="AS39" s="2"/>
      <c r="AT39" s="2"/>
      <c r="AU39" s="2"/>
      <c r="AV39" s="2">
        <v>0</v>
      </c>
      <c r="AW39" s="2"/>
      <c r="AX39" s="2">
        <v>0</v>
      </c>
      <c r="AY39" s="2"/>
      <c r="AZ39" s="2">
        <f t="shared" si="0"/>
        <v>14737872</v>
      </c>
      <c r="BA39" s="2" t="s">
        <v>286</v>
      </c>
      <c r="BC39" s="19" t="s">
        <v>216</v>
      </c>
      <c r="BD39" s="2"/>
      <c r="BE39" s="2"/>
      <c r="BF39" s="2">
        <v>20000</v>
      </c>
      <c r="BG39" s="2"/>
      <c r="BH39" s="2">
        <v>0</v>
      </c>
      <c r="BI39" s="2"/>
      <c r="BJ39" s="2">
        <v>0</v>
      </c>
      <c r="BK39" s="2"/>
      <c r="BL39" s="2">
        <v>0</v>
      </c>
      <c r="BM39" s="2"/>
      <c r="BN39" s="2">
        <f t="shared" si="1"/>
        <v>14757872</v>
      </c>
      <c r="BO39" s="2"/>
      <c r="BP39" s="2">
        <f>GenRev!AW38-BN39</f>
        <v>1388697</v>
      </c>
      <c r="BQ39" s="2"/>
      <c r="BR39" s="2">
        <v>4012196</v>
      </c>
      <c r="BS39" s="2"/>
      <c r="BT39" s="2">
        <v>0</v>
      </c>
      <c r="BU39" s="2"/>
      <c r="BV39" s="2">
        <f t="shared" si="2"/>
        <v>0</v>
      </c>
      <c r="BW39" s="2"/>
      <c r="BX39" s="2">
        <f t="shared" si="3"/>
        <v>5400893</v>
      </c>
      <c r="BY39" s="2"/>
      <c r="BZ39" s="36">
        <f>+BX39-GenBS!AC38</f>
        <v>0</v>
      </c>
      <c r="CC39" s="2"/>
    </row>
    <row r="40" spans="1:81" s="19" customFormat="1" ht="12">
      <c r="A40" s="2" t="s">
        <v>333</v>
      </c>
      <c r="C40" s="19" t="s">
        <v>222</v>
      </c>
      <c r="E40" s="19">
        <v>51284</v>
      </c>
      <c r="G40" s="2">
        <v>5232080</v>
      </c>
      <c r="H40" s="2"/>
      <c r="I40" s="2">
        <v>330985</v>
      </c>
      <c r="J40" s="2"/>
      <c r="K40" s="2">
        <v>11011828</v>
      </c>
      <c r="L40" s="2"/>
      <c r="M40" s="2">
        <v>0</v>
      </c>
      <c r="N40" s="2"/>
      <c r="O40" s="2">
        <v>1705155</v>
      </c>
      <c r="P40" s="2"/>
      <c r="Q40" s="2">
        <v>1534960</v>
      </c>
      <c r="R40" s="2"/>
      <c r="S40" s="2">
        <v>61685</v>
      </c>
      <c r="T40" s="2"/>
      <c r="U40" s="2">
        <v>2109370</v>
      </c>
      <c r="V40" s="2"/>
      <c r="W40" s="2">
        <v>872532</v>
      </c>
      <c r="X40" s="2"/>
      <c r="Y40" s="2">
        <v>657506</v>
      </c>
      <c r="Z40" s="2"/>
      <c r="AA40" s="2">
        <v>3707305</v>
      </c>
      <c r="AB40" s="2" t="s">
        <v>333</v>
      </c>
      <c r="AD40" s="19" t="s">
        <v>222</v>
      </c>
      <c r="AF40" s="2">
        <v>85295</v>
      </c>
      <c r="AG40" s="2"/>
      <c r="AH40" s="2">
        <v>1596333</v>
      </c>
      <c r="AI40" s="2"/>
      <c r="AJ40" s="2">
        <v>0</v>
      </c>
      <c r="AK40" s="2"/>
      <c r="AL40" s="2">
        <v>0</v>
      </c>
      <c r="AM40" s="2"/>
      <c r="AN40" s="2">
        <v>0</v>
      </c>
      <c r="AO40" s="2"/>
      <c r="AP40" s="2">
        <v>0</v>
      </c>
      <c r="AQ40" s="2"/>
      <c r="AR40" s="2">
        <v>109501</v>
      </c>
      <c r="AS40" s="2"/>
      <c r="AT40" s="2"/>
      <c r="AU40" s="2"/>
      <c r="AV40" s="2">
        <v>0</v>
      </c>
      <c r="AW40" s="2"/>
      <c r="AX40" s="2">
        <v>0</v>
      </c>
      <c r="AY40" s="2"/>
      <c r="AZ40" s="2">
        <f t="shared" si="0"/>
        <v>29014535</v>
      </c>
      <c r="BA40" s="2" t="s">
        <v>333</v>
      </c>
      <c r="BC40" s="19" t="s">
        <v>222</v>
      </c>
      <c r="BD40" s="2"/>
      <c r="BE40" s="2"/>
      <c r="BF40" s="2">
        <v>697866</v>
      </c>
      <c r="BG40" s="2"/>
      <c r="BH40" s="2">
        <v>0</v>
      </c>
      <c r="BI40" s="2"/>
      <c r="BJ40" s="2">
        <v>0</v>
      </c>
      <c r="BK40" s="2"/>
      <c r="BL40" s="2">
        <v>0</v>
      </c>
      <c r="BM40" s="2"/>
      <c r="BN40" s="2">
        <f t="shared" si="1"/>
        <v>29712401</v>
      </c>
      <c r="BO40" s="2"/>
      <c r="BP40" s="2">
        <f>GenRev!AW39-BN40</f>
        <v>-370764</v>
      </c>
      <c r="BQ40" s="2"/>
      <c r="BR40" s="2">
        <v>1938951</v>
      </c>
      <c r="BS40" s="2"/>
      <c r="BT40" s="2">
        <v>0</v>
      </c>
      <c r="BU40" s="2"/>
      <c r="BV40" s="2">
        <f t="shared" si="2"/>
        <v>0</v>
      </c>
      <c r="BW40" s="2"/>
      <c r="BX40" s="2">
        <f t="shared" si="3"/>
        <v>1568187</v>
      </c>
      <c r="BY40" s="2"/>
      <c r="BZ40" s="36">
        <f>+BX40-GenBS!AC39</f>
        <v>0</v>
      </c>
      <c r="CC40" s="2"/>
    </row>
    <row r="41" spans="1:81" s="19" customFormat="1" ht="12">
      <c r="A41" s="2" t="s">
        <v>334</v>
      </c>
      <c r="C41" s="19" t="s">
        <v>224</v>
      </c>
      <c r="E41" s="19">
        <v>51300</v>
      </c>
      <c r="G41" s="2">
        <v>1707430</v>
      </c>
      <c r="H41" s="2"/>
      <c r="I41" s="2">
        <v>0</v>
      </c>
      <c r="J41" s="2"/>
      <c r="K41" s="2">
        <v>5783946</v>
      </c>
      <c r="L41" s="2"/>
      <c r="M41" s="2">
        <v>15120</v>
      </c>
      <c r="N41" s="2"/>
      <c r="O41" s="2">
        <v>821925</v>
      </c>
      <c r="P41" s="2"/>
      <c r="Q41" s="2">
        <v>196300</v>
      </c>
      <c r="R41" s="2"/>
      <c r="S41" s="2">
        <v>82422</v>
      </c>
      <c r="T41" s="2"/>
      <c r="U41" s="2">
        <v>1310320</v>
      </c>
      <c r="V41" s="2"/>
      <c r="W41" s="2">
        <v>547550</v>
      </c>
      <c r="X41" s="2"/>
      <c r="Y41" s="2">
        <v>222459</v>
      </c>
      <c r="Z41" s="2"/>
      <c r="AA41" s="2">
        <v>1149168</v>
      </c>
      <c r="AB41" s="2" t="s">
        <v>334</v>
      </c>
      <c r="AD41" s="19" t="s">
        <v>224</v>
      </c>
      <c r="AF41" s="2">
        <v>48539</v>
      </c>
      <c r="AG41" s="2"/>
      <c r="AH41" s="2">
        <v>362885</v>
      </c>
      <c r="AI41" s="2"/>
      <c r="AJ41" s="2">
        <v>0</v>
      </c>
      <c r="AK41" s="2"/>
      <c r="AL41" s="2">
        <v>0</v>
      </c>
      <c r="AM41" s="2"/>
      <c r="AN41" s="2">
        <v>0</v>
      </c>
      <c r="AO41" s="2"/>
      <c r="AP41" s="2">
        <v>87952</v>
      </c>
      <c r="AQ41" s="2"/>
      <c r="AR41" s="2">
        <v>0</v>
      </c>
      <c r="AS41" s="2"/>
      <c r="AT41" s="2"/>
      <c r="AU41" s="2"/>
      <c r="AV41" s="2">
        <v>29465</v>
      </c>
      <c r="AW41" s="2"/>
      <c r="AX41" s="2">
        <v>4768</v>
      </c>
      <c r="AY41" s="2"/>
      <c r="AZ41" s="2">
        <f t="shared" si="0"/>
        <v>12370249</v>
      </c>
      <c r="BA41" s="2" t="s">
        <v>334</v>
      </c>
      <c r="BC41" s="19" t="s">
        <v>224</v>
      </c>
      <c r="BD41" s="2"/>
      <c r="BE41" s="2"/>
      <c r="BF41" s="2">
        <v>645000</v>
      </c>
      <c r="BG41" s="2"/>
      <c r="BH41" s="2">
        <v>0</v>
      </c>
      <c r="BI41" s="2"/>
      <c r="BJ41" s="2">
        <v>0</v>
      </c>
      <c r="BK41" s="2"/>
      <c r="BL41" s="2">
        <v>0</v>
      </c>
      <c r="BM41" s="2"/>
      <c r="BN41" s="2">
        <f t="shared" si="1"/>
        <v>13015249</v>
      </c>
      <c r="BO41" s="2"/>
      <c r="BP41" s="2">
        <f>GenRev!AW40-BN41</f>
        <v>1117844</v>
      </c>
      <c r="BQ41" s="2"/>
      <c r="BR41" s="2">
        <v>8012996</v>
      </c>
      <c r="BS41" s="2"/>
      <c r="BT41" s="2">
        <v>0</v>
      </c>
      <c r="BU41" s="2"/>
      <c r="BV41" s="2">
        <f t="shared" si="2"/>
        <v>0</v>
      </c>
      <c r="BW41" s="2"/>
      <c r="BX41" s="2">
        <f t="shared" si="3"/>
        <v>9130840</v>
      </c>
      <c r="BY41" s="2"/>
      <c r="BZ41" s="36">
        <f>+BX41-GenBS!AC40</f>
        <v>0</v>
      </c>
      <c r="CC41" s="2"/>
    </row>
    <row r="42" spans="1:81" s="19" customFormat="1" ht="12" hidden="1">
      <c r="A42" s="13" t="s">
        <v>279</v>
      </c>
      <c r="C42" s="19" t="s">
        <v>209</v>
      </c>
      <c r="E42" s="19">
        <v>51334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3" t="s">
        <v>279</v>
      </c>
      <c r="AD42" s="19" t="s">
        <v>209</v>
      </c>
      <c r="AF42" s="2"/>
      <c r="AG42" s="2"/>
      <c r="AH42" s="2"/>
      <c r="AI42" s="2"/>
      <c r="AJ42" s="2">
        <v>0</v>
      </c>
      <c r="AK42" s="2"/>
      <c r="AL42" s="2">
        <v>0</v>
      </c>
      <c r="AM42" s="2"/>
      <c r="AN42" s="2">
        <v>0</v>
      </c>
      <c r="AO42" s="2"/>
      <c r="AP42" s="2">
        <v>0</v>
      </c>
      <c r="AQ42" s="2"/>
      <c r="AR42" s="2"/>
      <c r="AS42" s="2"/>
      <c r="AT42" s="2"/>
      <c r="AU42" s="2"/>
      <c r="AV42" s="2"/>
      <c r="AW42" s="2"/>
      <c r="AX42" s="2"/>
      <c r="AY42" s="2"/>
      <c r="AZ42" s="2">
        <f t="shared" si="0"/>
        <v>0</v>
      </c>
      <c r="BA42" s="13" t="s">
        <v>279</v>
      </c>
      <c r="BC42" s="19" t="s">
        <v>209</v>
      </c>
      <c r="BD42" s="2"/>
      <c r="BE42" s="2"/>
      <c r="BF42" s="2">
        <v>0</v>
      </c>
      <c r="BG42" s="2"/>
      <c r="BH42" s="2">
        <v>0</v>
      </c>
      <c r="BI42" s="2"/>
      <c r="BJ42" s="2">
        <v>0</v>
      </c>
      <c r="BK42" s="2"/>
      <c r="BL42" s="2">
        <v>0</v>
      </c>
      <c r="BM42" s="2"/>
      <c r="BN42" s="2">
        <f t="shared" si="1"/>
        <v>0</v>
      </c>
      <c r="BO42" s="2"/>
      <c r="BP42" s="2">
        <f>GenRev!AW41-BN42</f>
        <v>0</v>
      </c>
      <c r="BQ42" s="2"/>
      <c r="BR42" s="2"/>
      <c r="BS42" s="2"/>
      <c r="BT42" s="2">
        <v>0</v>
      </c>
      <c r="BU42" s="2"/>
      <c r="BV42" s="2">
        <f t="shared" si="2"/>
        <v>0</v>
      </c>
      <c r="BW42" s="2"/>
      <c r="BX42" s="2">
        <f t="shared" si="3"/>
        <v>0</v>
      </c>
      <c r="BY42" s="2"/>
      <c r="BZ42" s="36">
        <f>+BX42-GenBS!AC41</f>
        <v>0</v>
      </c>
      <c r="CC42" s="2"/>
    </row>
    <row r="43" spans="1:81" s="19" customFormat="1" ht="12">
      <c r="A43" s="2" t="s">
        <v>335</v>
      </c>
      <c r="C43" s="19" t="s">
        <v>264</v>
      </c>
      <c r="E43" s="19">
        <v>51359</v>
      </c>
      <c r="G43" s="2">
        <v>0</v>
      </c>
      <c r="H43" s="2"/>
      <c r="I43" s="2">
        <v>1214004</v>
      </c>
      <c r="J43" s="2"/>
      <c r="K43" s="2">
        <v>15806548</v>
      </c>
      <c r="L43" s="2"/>
      <c r="M43" s="2">
        <v>13622</v>
      </c>
      <c r="N43" s="2"/>
      <c r="O43" s="2">
        <v>2347286</v>
      </c>
      <c r="P43" s="2"/>
      <c r="Q43" s="2">
        <v>2003139</v>
      </c>
      <c r="R43" s="2"/>
      <c r="S43" s="2">
        <v>75219</v>
      </c>
      <c r="T43" s="2"/>
      <c r="U43" s="2">
        <v>938806</v>
      </c>
      <c r="V43" s="2"/>
      <c r="W43" s="2">
        <v>598284</v>
      </c>
      <c r="X43" s="2"/>
      <c r="Y43" s="2">
        <v>0</v>
      </c>
      <c r="Z43" s="2"/>
      <c r="AA43" s="2">
        <v>2634639</v>
      </c>
      <c r="AB43" s="2" t="s">
        <v>335</v>
      </c>
      <c r="AD43" s="19" t="s">
        <v>264</v>
      </c>
      <c r="AF43" s="2">
        <v>0</v>
      </c>
      <c r="AG43" s="2"/>
      <c r="AH43" s="2">
        <v>317667</v>
      </c>
      <c r="AI43" s="2"/>
      <c r="AJ43" s="2">
        <v>0</v>
      </c>
      <c r="AK43" s="2"/>
      <c r="AL43" s="2">
        <v>0</v>
      </c>
      <c r="AM43" s="2"/>
      <c r="AN43" s="2">
        <v>260953</v>
      </c>
      <c r="AO43" s="2"/>
      <c r="AP43" s="2">
        <v>125457</v>
      </c>
      <c r="AQ43" s="2"/>
      <c r="AR43" s="2">
        <v>120541</v>
      </c>
      <c r="AS43" s="2"/>
      <c r="AT43" s="2"/>
      <c r="AU43" s="2"/>
      <c r="AV43" s="2">
        <v>25659</v>
      </c>
      <c r="AW43" s="2"/>
      <c r="AX43" s="2">
        <v>4957</v>
      </c>
      <c r="AY43" s="2"/>
      <c r="AZ43" s="2">
        <f t="shared" si="0"/>
        <v>26486781</v>
      </c>
      <c r="BA43" s="2" t="s">
        <v>335</v>
      </c>
      <c r="BC43" s="19" t="s">
        <v>264</v>
      </c>
      <c r="BD43" s="2"/>
      <c r="BE43" s="2"/>
      <c r="BF43" s="2">
        <v>892100</v>
      </c>
      <c r="BG43" s="2"/>
      <c r="BH43" s="2">
        <v>0</v>
      </c>
      <c r="BI43" s="2"/>
      <c r="BJ43" s="2">
        <v>0</v>
      </c>
      <c r="BK43" s="2"/>
      <c r="BL43" s="2">
        <v>0</v>
      </c>
      <c r="BM43" s="2"/>
      <c r="BN43" s="2">
        <f t="shared" si="1"/>
        <v>27378881</v>
      </c>
      <c r="BO43" s="2"/>
      <c r="BP43" s="2">
        <f>GenRev!AW42-BN43</f>
        <v>312897</v>
      </c>
      <c r="BQ43" s="2"/>
      <c r="BR43" s="2">
        <v>3613649</v>
      </c>
      <c r="BS43" s="2"/>
      <c r="BT43" s="2">
        <v>0</v>
      </c>
      <c r="BU43" s="2"/>
      <c r="BV43" s="2">
        <f t="shared" si="2"/>
        <v>0</v>
      </c>
      <c r="BW43" s="2"/>
      <c r="BX43" s="2">
        <f t="shared" si="3"/>
        <v>3926546</v>
      </c>
      <c r="BY43" s="2"/>
      <c r="BZ43" s="36">
        <f>+BX43-GenBS!AC42</f>
        <v>0</v>
      </c>
      <c r="CC43" s="2"/>
    </row>
    <row r="44" spans="1:81" s="19" customFormat="1" ht="12">
      <c r="A44" s="2" t="s">
        <v>336</v>
      </c>
      <c r="C44" s="19" t="s">
        <v>238</v>
      </c>
      <c r="E44" s="19">
        <v>51433</v>
      </c>
      <c r="G44" s="2">
        <v>988475</v>
      </c>
      <c r="H44" s="2"/>
      <c r="I44" s="2">
        <v>0</v>
      </c>
      <c r="J44" s="2"/>
      <c r="K44" s="2">
        <v>9801834</v>
      </c>
      <c r="L44" s="2"/>
      <c r="M44" s="2">
        <v>0</v>
      </c>
      <c r="N44" s="2"/>
      <c r="O44" s="2">
        <v>573896</v>
      </c>
      <c r="P44" s="2"/>
      <c r="Q44" s="2">
        <v>856475</v>
      </c>
      <c r="R44" s="2"/>
      <c r="S44" s="2">
        <v>35316</v>
      </c>
      <c r="T44" s="2"/>
      <c r="U44" s="2">
        <v>387459</v>
      </c>
      <c r="V44" s="2"/>
      <c r="W44" s="2">
        <v>506732</v>
      </c>
      <c r="X44" s="2"/>
      <c r="Y44" s="2">
        <v>3755</v>
      </c>
      <c r="Z44" s="2"/>
      <c r="AA44" s="2">
        <v>1176410</v>
      </c>
      <c r="AB44" s="2" t="s">
        <v>336</v>
      </c>
      <c r="AD44" s="19" t="s">
        <v>238</v>
      </c>
      <c r="AF44" s="2">
        <v>147</v>
      </c>
      <c r="AG44" s="2"/>
      <c r="AH44" s="2">
        <v>34101</v>
      </c>
      <c r="AI44" s="2"/>
      <c r="AJ44" s="2">
        <v>0</v>
      </c>
      <c r="AK44" s="2"/>
      <c r="AL44" s="2">
        <v>0</v>
      </c>
      <c r="AM44" s="2"/>
      <c r="AN44" s="2">
        <v>4277</v>
      </c>
      <c r="AO44" s="2"/>
      <c r="AP44" s="2">
        <v>8528</v>
      </c>
      <c r="AQ44" s="2"/>
      <c r="AR44" s="2">
        <v>1289986</v>
      </c>
      <c r="AS44" s="2"/>
      <c r="AT44" s="2"/>
      <c r="AU44" s="2"/>
      <c r="AV44" s="2">
        <v>279627</v>
      </c>
      <c r="AW44" s="2"/>
      <c r="AX44" s="2">
        <v>327</v>
      </c>
      <c r="AY44" s="2"/>
      <c r="AZ44" s="2">
        <f t="shared" si="0"/>
        <v>15947345</v>
      </c>
      <c r="BA44" s="2" t="s">
        <v>336</v>
      </c>
      <c r="BC44" s="19" t="s">
        <v>238</v>
      </c>
      <c r="BD44" s="2"/>
      <c r="BE44" s="2"/>
      <c r="BF44" s="2">
        <v>373015</v>
      </c>
      <c r="BG44" s="2"/>
      <c r="BH44" s="2">
        <v>0</v>
      </c>
      <c r="BI44" s="2"/>
      <c r="BJ44" s="2">
        <v>0</v>
      </c>
      <c r="BK44" s="2"/>
      <c r="BL44" s="2">
        <v>0</v>
      </c>
      <c r="BM44" s="2"/>
      <c r="BN44" s="2">
        <f t="shared" si="1"/>
        <v>16320360</v>
      </c>
      <c r="BO44" s="2"/>
      <c r="BP44" s="2">
        <f>GenRev!AW43-BN44</f>
        <v>-574500</v>
      </c>
      <c r="BQ44" s="2"/>
      <c r="BR44" s="2">
        <v>4964826</v>
      </c>
      <c r="BS44" s="2"/>
      <c r="BT44" s="2">
        <v>0</v>
      </c>
      <c r="BU44" s="2"/>
      <c r="BV44" s="2">
        <f t="shared" si="2"/>
        <v>0</v>
      </c>
      <c r="BW44" s="2"/>
      <c r="BX44" s="2">
        <f t="shared" si="3"/>
        <v>4390326</v>
      </c>
      <c r="BY44" s="2"/>
      <c r="BZ44" s="36">
        <f>+BX44-GenBS!AC43</f>
        <v>0</v>
      </c>
      <c r="CC44" s="2"/>
    </row>
    <row r="45" spans="1:81" s="19" customFormat="1" ht="12">
      <c r="A45" s="2" t="s">
        <v>337</v>
      </c>
      <c r="C45" s="19" t="s">
        <v>288</v>
      </c>
      <c r="E45" s="19">
        <v>51375</v>
      </c>
      <c r="G45" s="2">
        <v>29380</v>
      </c>
      <c r="H45" s="2"/>
      <c r="I45" s="2">
        <v>79357</v>
      </c>
      <c r="J45" s="2"/>
      <c r="K45" s="2">
        <v>4140624</v>
      </c>
      <c r="L45" s="2"/>
      <c r="M45" s="2">
        <v>0</v>
      </c>
      <c r="N45" s="2"/>
      <c r="O45" s="2">
        <v>345995</v>
      </c>
      <c r="P45" s="2"/>
      <c r="Q45" s="2">
        <v>98789</v>
      </c>
      <c r="R45" s="2"/>
      <c r="S45" s="2">
        <v>85962</v>
      </c>
      <c r="T45" s="2"/>
      <c r="U45" s="2">
        <v>415836</v>
      </c>
      <c r="V45" s="2"/>
      <c r="W45" s="2">
        <v>333969</v>
      </c>
      <c r="X45" s="2"/>
      <c r="Y45" s="2">
        <v>0</v>
      </c>
      <c r="Z45" s="2"/>
      <c r="AA45" s="2">
        <v>859433</v>
      </c>
      <c r="AB45" s="2" t="s">
        <v>337</v>
      </c>
      <c r="AD45" s="19" t="s">
        <v>288</v>
      </c>
      <c r="AF45" s="2">
        <v>31792</v>
      </c>
      <c r="AG45" s="2"/>
      <c r="AH45" s="2">
        <v>73745</v>
      </c>
      <c r="AI45" s="2"/>
      <c r="AJ45" s="2">
        <v>0</v>
      </c>
      <c r="AK45" s="2"/>
      <c r="AL45" s="2">
        <v>0</v>
      </c>
      <c r="AM45" s="2"/>
      <c r="AN45" s="2">
        <v>34206</v>
      </c>
      <c r="AO45" s="2"/>
      <c r="AP45" s="2">
        <v>700</v>
      </c>
      <c r="AQ45" s="2"/>
      <c r="AR45" s="2">
        <v>0</v>
      </c>
      <c r="AS45" s="2"/>
      <c r="AT45" s="2"/>
      <c r="AU45" s="2"/>
      <c r="AV45" s="2">
        <v>0</v>
      </c>
      <c r="AW45" s="2"/>
      <c r="AX45" s="2">
        <v>0</v>
      </c>
      <c r="AY45" s="2"/>
      <c r="AZ45" s="2">
        <f t="shared" si="0"/>
        <v>6529788</v>
      </c>
      <c r="BA45" s="2" t="s">
        <v>337</v>
      </c>
      <c r="BC45" s="19" t="s">
        <v>288</v>
      </c>
      <c r="BD45" s="2"/>
      <c r="BE45" s="2"/>
      <c r="BF45" s="2">
        <v>326872</v>
      </c>
      <c r="BG45" s="2"/>
      <c r="BH45" s="2">
        <v>0</v>
      </c>
      <c r="BI45" s="2"/>
      <c r="BJ45" s="2">
        <v>0</v>
      </c>
      <c r="BK45" s="2"/>
      <c r="BL45" s="2">
        <v>0</v>
      </c>
      <c r="BM45" s="2"/>
      <c r="BN45" s="2">
        <f t="shared" si="1"/>
        <v>6856660</v>
      </c>
      <c r="BO45" s="2"/>
      <c r="BP45" s="2">
        <f>GenRev!AW44-BN45</f>
        <v>-494051</v>
      </c>
      <c r="BQ45" s="2"/>
      <c r="BR45" s="2">
        <v>5319581</v>
      </c>
      <c r="BS45" s="2"/>
      <c r="BT45" s="2">
        <v>0</v>
      </c>
      <c r="BU45" s="2"/>
      <c r="BV45" s="2">
        <f t="shared" si="2"/>
        <v>0</v>
      </c>
      <c r="BW45" s="2"/>
      <c r="BX45" s="2">
        <f t="shared" si="3"/>
        <v>4825530</v>
      </c>
      <c r="BY45" s="2"/>
      <c r="BZ45" s="36">
        <f>+BX45-GenBS!AC44</f>
        <v>0</v>
      </c>
      <c r="CC45" s="2"/>
    </row>
    <row r="46" spans="1:81" s="19" customFormat="1" ht="12">
      <c r="A46" s="2" t="s">
        <v>338</v>
      </c>
      <c r="C46" s="19" t="s">
        <v>236</v>
      </c>
      <c r="E46" s="19">
        <v>51417</v>
      </c>
      <c r="G46" s="2">
        <v>721465</v>
      </c>
      <c r="H46" s="2"/>
      <c r="I46" s="2">
        <v>416495</v>
      </c>
      <c r="J46" s="2"/>
      <c r="K46" s="2">
        <v>8364801</v>
      </c>
      <c r="L46" s="2"/>
      <c r="M46" s="2">
        <v>0</v>
      </c>
      <c r="N46" s="2"/>
      <c r="O46" s="2">
        <v>827807</v>
      </c>
      <c r="P46" s="2"/>
      <c r="Q46" s="2">
        <v>776395</v>
      </c>
      <c r="R46" s="2"/>
      <c r="S46" s="2">
        <v>69443</v>
      </c>
      <c r="T46" s="2"/>
      <c r="U46" s="2">
        <v>1217105</v>
      </c>
      <c r="V46" s="2"/>
      <c r="W46" s="2">
        <v>487745</v>
      </c>
      <c r="X46" s="2"/>
      <c r="Y46" s="2">
        <v>164014</v>
      </c>
      <c r="Z46" s="2"/>
      <c r="AA46" s="2">
        <v>1087241</v>
      </c>
      <c r="AB46" s="2" t="s">
        <v>338</v>
      </c>
      <c r="AD46" s="19" t="s">
        <v>236</v>
      </c>
      <c r="AF46" s="2">
        <v>12133</v>
      </c>
      <c r="AG46" s="2"/>
      <c r="AH46" s="2">
        <v>131241</v>
      </c>
      <c r="AI46" s="2"/>
      <c r="AJ46" s="2">
        <v>0</v>
      </c>
      <c r="AK46" s="2"/>
      <c r="AL46" s="2">
        <v>0</v>
      </c>
      <c r="AM46" s="2"/>
      <c r="AN46" s="2">
        <v>183</v>
      </c>
      <c r="AO46" s="2"/>
      <c r="AP46" s="2">
        <v>82528</v>
      </c>
      <c r="AQ46" s="2"/>
      <c r="AR46" s="2">
        <v>49321</v>
      </c>
      <c r="AS46" s="2"/>
      <c r="AT46" s="2"/>
      <c r="AU46" s="2"/>
      <c r="AV46" s="2">
        <v>80470</v>
      </c>
      <c r="AW46" s="2"/>
      <c r="AX46" s="2">
        <v>471171</v>
      </c>
      <c r="AY46" s="2"/>
      <c r="AZ46" s="2">
        <f t="shared" si="0"/>
        <v>14959558</v>
      </c>
      <c r="BA46" s="2" t="s">
        <v>338</v>
      </c>
      <c r="BC46" s="19" t="s">
        <v>236</v>
      </c>
      <c r="BD46" s="2"/>
      <c r="BE46" s="2"/>
      <c r="BF46" s="2">
        <v>1311307</v>
      </c>
      <c r="BG46" s="2"/>
      <c r="BH46" s="2">
        <v>0</v>
      </c>
      <c r="BI46" s="2"/>
      <c r="BJ46" s="2">
        <v>0</v>
      </c>
      <c r="BK46" s="2"/>
      <c r="BL46" s="2">
        <v>0</v>
      </c>
      <c r="BM46" s="2"/>
      <c r="BN46" s="2">
        <f t="shared" si="1"/>
        <v>16270865</v>
      </c>
      <c r="BO46" s="2"/>
      <c r="BP46" s="2">
        <f>GenRev!AW45-BN46</f>
        <v>178435</v>
      </c>
      <c r="BQ46" s="2"/>
      <c r="BR46" s="2">
        <v>10476196</v>
      </c>
      <c r="BS46" s="2"/>
      <c r="BT46" s="2">
        <v>-5094</v>
      </c>
      <c r="BU46" s="2"/>
      <c r="BV46" s="2">
        <f t="shared" si="2"/>
        <v>5094</v>
      </c>
      <c r="BW46" s="2"/>
      <c r="BX46" s="2">
        <f t="shared" si="3"/>
        <v>10659725</v>
      </c>
      <c r="BY46" s="2"/>
      <c r="BZ46" s="36">
        <f>+BX46-GenBS!AC45</f>
        <v>0</v>
      </c>
      <c r="CC46" s="2"/>
    </row>
    <row r="47" spans="1:81" s="19" customFormat="1" ht="12">
      <c r="A47" s="2" t="s">
        <v>339</v>
      </c>
      <c r="C47" s="19" t="s">
        <v>177</v>
      </c>
      <c r="E47" s="19">
        <v>50948</v>
      </c>
      <c r="G47" s="2">
        <v>0</v>
      </c>
      <c r="H47" s="2"/>
      <c r="I47" s="2">
        <v>0</v>
      </c>
      <c r="J47" s="2"/>
      <c r="K47" s="2">
        <v>6167410</v>
      </c>
      <c r="L47" s="2"/>
      <c r="M47" s="2">
        <v>0</v>
      </c>
      <c r="N47" s="2"/>
      <c r="O47" s="2">
        <v>1697141</v>
      </c>
      <c r="P47" s="2"/>
      <c r="Q47" s="2">
        <v>1514885</v>
      </c>
      <c r="R47" s="2"/>
      <c r="S47" s="2">
        <v>112411</v>
      </c>
      <c r="T47" s="2"/>
      <c r="U47" s="2">
        <v>826542</v>
      </c>
      <c r="V47" s="2"/>
      <c r="W47" s="2">
        <v>672432</v>
      </c>
      <c r="X47" s="2"/>
      <c r="Y47" s="2">
        <v>248244</v>
      </c>
      <c r="Z47" s="2"/>
      <c r="AA47" s="2">
        <v>1841765</v>
      </c>
      <c r="AB47" s="2" t="s">
        <v>339</v>
      </c>
      <c r="AD47" s="19" t="s">
        <v>177</v>
      </c>
      <c r="AF47" s="2">
        <v>30056</v>
      </c>
      <c r="AG47" s="2"/>
      <c r="AH47" s="2">
        <v>1119700</v>
      </c>
      <c r="AI47" s="2"/>
      <c r="AJ47" s="2">
        <v>0</v>
      </c>
      <c r="AK47" s="2"/>
      <c r="AL47" s="2">
        <v>0</v>
      </c>
      <c r="AM47" s="2"/>
      <c r="AN47" s="2">
        <v>0</v>
      </c>
      <c r="AO47" s="2"/>
      <c r="AP47" s="2">
        <v>40572</v>
      </c>
      <c r="AQ47" s="2"/>
      <c r="AR47" s="2">
        <v>45507</v>
      </c>
      <c r="AS47" s="2"/>
      <c r="AT47" s="2"/>
      <c r="AU47" s="2"/>
      <c r="AV47" s="2">
        <v>0</v>
      </c>
      <c r="AW47" s="2"/>
      <c r="AX47" s="2">
        <v>0</v>
      </c>
      <c r="AY47" s="2"/>
      <c r="AZ47" s="2">
        <f t="shared" si="0"/>
        <v>14316665</v>
      </c>
      <c r="BA47" s="2" t="s">
        <v>339</v>
      </c>
      <c r="BC47" s="19" t="s">
        <v>177</v>
      </c>
      <c r="BD47" s="2"/>
      <c r="BE47" s="2"/>
      <c r="BF47" s="2">
        <v>25507</v>
      </c>
      <c r="BG47" s="2"/>
      <c r="BH47" s="2">
        <v>0</v>
      </c>
      <c r="BI47" s="2"/>
      <c r="BJ47" s="2">
        <v>0</v>
      </c>
      <c r="BK47" s="2"/>
      <c r="BL47" s="2">
        <v>0</v>
      </c>
      <c r="BM47" s="2"/>
      <c r="BN47" s="2">
        <f t="shared" si="1"/>
        <v>14342172</v>
      </c>
      <c r="BO47" s="2"/>
      <c r="BP47" s="2">
        <f>GenRev!AW46-BN47</f>
        <v>-101739</v>
      </c>
      <c r="BQ47" s="2"/>
      <c r="BR47" s="2">
        <v>9746785</v>
      </c>
      <c r="BS47" s="2"/>
      <c r="BT47" s="2">
        <v>0</v>
      </c>
      <c r="BU47" s="2"/>
      <c r="BV47" s="2">
        <f t="shared" si="2"/>
        <v>0</v>
      </c>
      <c r="BW47" s="2"/>
      <c r="BX47" s="2">
        <f t="shared" si="3"/>
        <v>9645046</v>
      </c>
      <c r="BY47" s="2"/>
      <c r="BZ47" s="36">
        <f>+BX47-GenBS!AC46</f>
        <v>0</v>
      </c>
      <c r="CB47" s="13" t="s">
        <v>401</v>
      </c>
      <c r="CC47" s="2"/>
    </row>
    <row r="48" spans="1:81" s="19" customFormat="1" ht="12">
      <c r="A48" s="2" t="s">
        <v>340</v>
      </c>
      <c r="C48" s="19" t="s">
        <v>250</v>
      </c>
      <c r="E48" s="19">
        <v>63495</v>
      </c>
      <c r="G48" s="2">
        <v>357633</v>
      </c>
      <c r="H48" s="2"/>
      <c r="I48" s="2">
        <v>235535</v>
      </c>
      <c r="J48" s="2"/>
      <c r="K48" s="2">
        <v>2960523</v>
      </c>
      <c r="L48" s="2"/>
      <c r="M48" s="2">
        <v>1658</v>
      </c>
      <c r="N48" s="2"/>
      <c r="O48" s="2">
        <v>295690</v>
      </c>
      <c r="P48" s="2"/>
      <c r="Q48" s="2">
        <v>93297</v>
      </c>
      <c r="R48" s="2"/>
      <c r="S48" s="2">
        <v>26447</v>
      </c>
      <c r="T48" s="2"/>
      <c r="U48" s="2">
        <v>795479</v>
      </c>
      <c r="V48" s="2"/>
      <c r="W48" s="2">
        <v>371765</v>
      </c>
      <c r="X48" s="2"/>
      <c r="Y48" s="2">
        <v>0</v>
      </c>
      <c r="Z48" s="2"/>
      <c r="AA48" s="2">
        <v>392051</v>
      </c>
      <c r="AB48" s="2" t="s">
        <v>340</v>
      </c>
      <c r="AD48" s="19" t="s">
        <v>250</v>
      </c>
      <c r="AF48" s="2">
        <v>42747</v>
      </c>
      <c r="AG48" s="2"/>
      <c r="AH48" s="2">
        <v>65105</v>
      </c>
      <c r="AI48" s="2"/>
      <c r="AJ48" s="2">
        <v>0</v>
      </c>
      <c r="AK48" s="2"/>
      <c r="AL48" s="2">
        <v>0</v>
      </c>
      <c r="AM48" s="2"/>
      <c r="AN48" s="2">
        <v>0</v>
      </c>
      <c r="AO48" s="2"/>
      <c r="AP48" s="2">
        <v>1724</v>
      </c>
      <c r="AQ48" s="2"/>
      <c r="AR48" s="2">
        <v>499941</v>
      </c>
      <c r="AS48" s="2"/>
      <c r="AT48" s="2"/>
      <c r="AU48" s="2"/>
      <c r="AV48" s="2">
        <v>0</v>
      </c>
      <c r="AW48" s="2"/>
      <c r="AX48" s="2">
        <v>0</v>
      </c>
      <c r="AY48" s="2"/>
      <c r="AZ48" s="2">
        <f t="shared" si="0"/>
        <v>6139595</v>
      </c>
      <c r="BA48" s="2" t="s">
        <v>340</v>
      </c>
      <c r="BC48" s="19" t="s">
        <v>250</v>
      </c>
      <c r="BD48" s="2"/>
      <c r="BE48" s="2"/>
      <c r="BF48" s="2">
        <v>106649</v>
      </c>
      <c r="BG48" s="2"/>
      <c r="BH48" s="2">
        <v>0</v>
      </c>
      <c r="BI48" s="2"/>
      <c r="BJ48" s="2">
        <v>0</v>
      </c>
      <c r="BK48" s="2"/>
      <c r="BL48" s="2">
        <v>0</v>
      </c>
      <c r="BM48" s="2"/>
      <c r="BN48" s="2">
        <f t="shared" si="1"/>
        <v>6246244</v>
      </c>
      <c r="BO48" s="2"/>
      <c r="BP48" s="2">
        <f>GenRev!AW47-BN48</f>
        <v>702112</v>
      </c>
      <c r="BQ48" s="2"/>
      <c r="BR48" s="2">
        <v>9074051</v>
      </c>
      <c r="BS48" s="2"/>
      <c r="BT48" s="2">
        <v>0</v>
      </c>
      <c r="BU48" s="2"/>
      <c r="BV48" s="2">
        <f t="shared" si="2"/>
        <v>0</v>
      </c>
      <c r="BW48" s="2"/>
      <c r="BX48" s="2">
        <f t="shared" si="3"/>
        <v>9776163</v>
      </c>
      <c r="BY48" s="2"/>
      <c r="BZ48" s="36">
        <f>+BX48-GenBS!AC47</f>
        <v>0</v>
      </c>
      <c r="CC48" s="2"/>
    </row>
    <row r="49" spans="1:81" s="19" customFormat="1" ht="12">
      <c r="A49" s="2" t="s">
        <v>341</v>
      </c>
      <c r="C49" s="19" t="s">
        <v>242</v>
      </c>
      <c r="E49" s="19">
        <v>51490</v>
      </c>
      <c r="G49" s="2">
        <v>0</v>
      </c>
      <c r="H49" s="2"/>
      <c r="I49" s="2">
        <v>164457</v>
      </c>
      <c r="J49" s="2"/>
      <c r="K49" s="2">
        <v>3977880</v>
      </c>
      <c r="L49" s="2"/>
      <c r="M49" s="2">
        <v>0</v>
      </c>
      <c r="N49" s="2"/>
      <c r="O49" s="2">
        <v>298402</v>
      </c>
      <c r="P49" s="2"/>
      <c r="Q49" s="2">
        <v>521839</v>
      </c>
      <c r="R49" s="2"/>
      <c r="S49" s="2">
        <v>16670</v>
      </c>
      <c r="T49" s="2"/>
      <c r="U49" s="2">
        <v>754711</v>
      </c>
      <c r="V49" s="2"/>
      <c r="W49" s="2">
        <v>335875</v>
      </c>
      <c r="X49" s="2"/>
      <c r="Y49" s="2">
        <v>0</v>
      </c>
      <c r="Z49" s="2"/>
      <c r="AA49" s="2">
        <v>1092983</v>
      </c>
      <c r="AB49" s="2" t="s">
        <v>341</v>
      </c>
      <c r="AD49" s="19" t="s">
        <v>242</v>
      </c>
      <c r="AF49" s="2">
        <v>14571</v>
      </c>
      <c r="AG49" s="2"/>
      <c r="AH49" s="2">
        <v>117502</v>
      </c>
      <c r="AI49" s="2"/>
      <c r="AJ49" s="2">
        <v>0</v>
      </c>
      <c r="AK49" s="2"/>
      <c r="AL49" s="2">
        <v>0</v>
      </c>
      <c r="AM49" s="2"/>
      <c r="AN49" s="2">
        <v>0</v>
      </c>
      <c r="AO49" s="2"/>
      <c r="AP49" s="2">
        <v>34444</v>
      </c>
      <c r="AQ49" s="2"/>
      <c r="AR49" s="2">
        <v>0</v>
      </c>
      <c r="AS49" s="2"/>
      <c r="AT49" s="2"/>
      <c r="AU49" s="2"/>
      <c r="AV49" s="2">
        <v>0</v>
      </c>
      <c r="AW49" s="2"/>
      <c r="AX49" s="2">
        <v>0</v>
      </c>
      <c r="AY49" s="2"/>
      <c r="AZ49" s="2">
        <f t="shared" si="0"/>
        <v>7329334</v>
      </c>
      <c r="BA49" s="2" t="s">
        <v>341</v>
      </c>
      <c r="BC49" s="19" t="s">
        <v>242</v>
      </c>
      <c r="BD49" s="2"/>
      <c r="BE49" s="2"/>
      <c r="BF49" s="2">
        <v>269534</v>
      </c>
      <c r="BG49" s="2"/>
      <c r="BH49" s="2">
        <v>0</v>
      </c>
      <c r="BI49" s="2"/>
      <c r="BJ49" s="2">
        <v>0</v>
      </c>
      <c r="BK49" s="2"/>
      <c r="BL49" s="2">
        <v>0</v>
      </c>
      <c r="BM49" s="2"/>
      <c r="BN49" s="2">
        <f t="shared" si="1"/>
        <v>7598868</v>
      </c>
      <c r="BO49" s="2"/>
      <c r="BP49" s="2">
        <f>GenRev!AW48-BN49</f>
        <v>-951624</v>
      </c>
      <c r="BQ49" s="2"/>
      <c r="BR49" s="2">
        <v>3482240</v>
      </c>
      <c r="BS49" s="2"/>
      <c r="BT49" s="2">
        <v>0</v>
      </c>
      <c r="BU49" s="2"/>
      <c r="BV49" s="2">
        <f t="shared" si="2"/>
        <v>0</v>
      </c>
      <c r="BW49" s="2"/>
      <c r="BX49" s="2">
        <f t="shared" si="3"/>
        <v>2530616</v>
      </c>
      <c r="BY49" s="2"/>
      <c r="BZ49" s="36">
        <f>+BX49-GenBS!AC48</f>
        <v>0</v>
      </c>
      <c r="CC49" s="2"/>
    </row>
    <row r="50" spans="1:81" s="60" customFormat="1" ht="12">
      <c r="A50" s="13" t="s">
        <v>268</v>
      </c>
      <c r="C50" s="60" t="s">
        <v>164</v>
      </c>
      <c r="E50" s="60">
        <v>50799</v>
      </c>
      <c r="G50" s="2">
        <v>203706</v>
      </c>
      <c r="H50" s="2"/>
      <c r="I50" s="2">
        <v>119</v>
      </c>
      <c r="J50" s="2"/>
      <c r="K50" s="2">
        <v>3352798</v>
      </c>
      <c r="L50" s="2"/>
      <c r="M50" s="2">
        <v>0</v>
      </c>
      <c r="N50" s="2"/>
      <c r="O50" s="2">
        <v>218353</v>
      </c>
      <c r="P50" s="2"/>
      <c r="Q50" s="2">
        <v>191247</v>
      </c>
      <c r="R50" s="2"/>
      <c r="S50" s="2">
        <v>45750</v>
      </c>
      <c r="T50" s="2"/>
      <c r="U50" s="2">
        <v>474511</v>
      </c>
      <c r="V50" s="2"/>
      <c r="W50" s="2">
        <v>340566</v>
      </c>
      <c r="X50" s="2"/>
      <c r="Y50" s="2">
        <v>2269</v>
      </c>
      <c r="Z50" s="2"/>
      <c r="AA50" s="2">
        <v>524585</v>
      </c>
      <c r="AB50" s="13" t="s">
        <v>268</v>
      </c>
      <c r="AD50" s="60" t="s">
        <v>164</v>
      </c>
      <c r="AF50" s="2">
        <v>25804</v>
      </c>
      <c r="AG50" s="2"/>
      <c r="AH50" s="2">
        <v>40730</v>
      </c>
      <c r="AI50" s="2"/>
      <c r="AJ50" s="2">
        <v>0</v>
      </c>
      <c r="AK50" s="13"/>
      <c r="AL50" s="2">
        <v>0</v>
      </c>
      <c r="AM50" s="2"/>
      <c r="AN50" s="2">
        <v>0</v>
      </c>
      <c r="AO50" s="2"/>
      <c r="AP50" s="2">
        <v>5149</v>
      </c>
      <c r="AQ50" s="2"/>
      <c r="AR50" s="2">
        <v>1290</v>
      </c>
      <c r="AS50" s="2"/>
      <c r="AT50" s="2"/>
      <c r="AU50" s="2"/>
      <c r="AV50" s="2">
        <v>0</v>
      </c>
      <c r="AW50" s="2"/>
      <c r="AX50" s="2">
        <v>0</v>
      </c>
      <c r="AY50" s="2"/>
      <c r="AZ50" s="2">
        <f t="shared" si="0"/>
        <v>5426877</v>
      </c>
      <c r="BA50" s="13" t="s">
        <v>268</v>
      </c>
      <c r="BC50" s="60" t="s">
        <v>164</v>
      </c>
      <c r="BD50" s="2"/>
      <c r="BE50" s="2"/>
      <c r="BF50" s="2">
        <v>139000</v>
      </c>
      <c r="BG50" s="2"/>
      <c r="BH50" s="2">
        <v>0</v>
      </c>
      <c r="BI50" s="2"/>
      <c r="BJ50" s="2">
        <v>0</v>
      </c>
      <c r="BK50" s="2"/>
      <c r="BL50" s="2">
        <v>0</v>
      </c>
      <c r="BM50" s="2"/>
      <c r="BN50" s="2">
        <f t="shared" si="1"/>
        <v>5565877</v>
      </c>
      <c r="BO50" s="2"/>
      <c r="BP50" s="2">
        <f>GenRev!AW49-BN50</f>
        <v>-321395</v>
      </c>
      <c r="BQ50" s="2"/>
      <c r="BR50" s="2">
        <v>3477550</v>
      </c>
      <c r="BS50" s="2"/>
      <c r="BT50" s="2">
        <v>0</v>
      </c>
      <c r="BU50" s="2"/>
      <c r="BV50" s="2">
        <f t="shared" si="2"/>
        <v>0</v>
      </c>
      <c r="BW50" s="2"/>
      <c r="BX50" s="2">
        <f t="shared" si="3"/>
        <v>3156155</v>
      </c>
      <c r="BY50" s="2"/>
      <c r="BZ50" s="36">
        <f>+BX50-GenBS!AC49</f>
        <v>0</v>
      </c>
      <c r="CC50" s="13"/>
    </row>
    <row r="51" spans="1:81" s="19" customFormat="1" ht="12">
      <c r="A51" s="13" t="s">
        <v>387</v>
      </c>
      <c r="C51" s="19" t="s">
        <v>169</v>
      </c>
      <c r="E51" s="19">
        <v>51532</v>
      </c>
      <c r="G51" s="2">
        <v>0</v>
      </c>
      <c r="H51" s="2"/>
      <c r="I51" s="2">
        <v>708194</v>
      </c>
      <c r="J51" s="2"/>
      <c r="K51" s="2">
        <v>5121419</v>
      </c>
      <c r="L51" s="2"/>
      <c r="M51" s="2">
        <v>39</v>
      </c>
      <c r="N51" s="2"/>
      <c r="O51" s="2">
        <v>713433</v>
      </c>
      <c r="P51" s="2"/>
      <c r="Q51" s="2">
        <v>1005976</v>
      </c>
      <c r="R51" s="2"/>
      <c r="S51" s="2">
        <v>46803</v>
      </c>
      <c r="T51" s="2"/>
      <c r="U51" s="2">
        <v>680162</v>
      </c>
      <c r="V51" s="2"/>
      <c r="W51" s="2">
        <v>523497</v>
      </c>
      <c r="X51" s="2"/>
      <c r="Y51" s="2">
        <v>118670</v>
      </c>
      <c r="Z51" s="2"/>
      <c r="AA51" s="2">
        <v>1283326</v>
      </c>
      <c r="AB51" s="2" t="s">
        <v>269</v>
      </c>
      <c r="AD51" s="19" t="s">
        <v>169</v>
      </c>
      <c r="AF51" s="2">
        <v>48654</v>
      </c>
      <c r="AG51" s="2"/>
      <c r="AH51" s="2">
        <v>24319</v>
      </c>
      <c r="AI51" s="2"/>
      <c r="AJ51" s="2">
        <v>0</v>
      </c>
      <c r="AK51" s="2"/>
      <c r="AL51" s="2">
        <v>0</v>
      </c>
      <c r="AM51" s="2"/>
      <c r="AN51" s="2">
        <v>0</v>
      </c>
      <c r="AO51" s="2"/>
      <c r="AP51" s="2">
        <v>15108</v>
      </c>
      <c r="AQ51" s="2"/>
      <c r="AR51" s="2">
        <v>161095</v>
      </c>
      <c r="AS51" s="2"/>
      <c r="AT51" s="2"/>
      <c r="AU51" s="2"/>
      <c r="AV51" s="2">
        <v>450671</v>
      </c>
      <c r="AW51" s="2"/>
      <c r="AX51" s="2">
        <v>177468</v>
      </c>
      <c r="AY51" s="2"/>
      <c r="AZ51" s="2">
        <f t="shared" si="0"/>
        <v>11078834</v>
      </c>
      <c r="BA51" s="2" t="s">
        <v>269</v>
      </c>
      <c r="BC51" s="19" t="s">
        <v>169</v>
      </c>
      <c r="BD51" s="2"/>
      <c r="BE51" s="2"/>
      <c r="BF51" s="2">
        <v>163000</v>
      </c>
      <c r="BG51" s="2"/>
      <c r="BH51" s="2">
        <v>0</v>
      </c>
      <c r="BI51" s="2"/>
      <c r="BJ51" s="2">
        <v>0</v>
      </c>
      <c r="BK51" s="2"/>
      <c r="BL51" s="2">
        <v>0</v>
      </c>
      <c r="BM51" s="2"/>
      <c r="BN51" s="2">
        <f t="shared" si="1"/>
        <v>11241834</v>
      </c>
      <c r="BO51" s="2"/>
      <c r="BP51" s="2">
        <f>GenRev!AW50-BN51</f>
        <v>829534</v>
      </c>
      <c r="BQ51" s="2"/>
      <c r="BR51" s="2">
        <v>4960644</v>
      </c>
      <c r="BS51" s="2"/>
      <c r="BT51" s="2">
        <v>-40874</v>
      </c>
      <c r="BU51" s="2"/>
      <c r="BV51" s="2">
        <f t="shared" si="2"/>
        <v>40874</v>
      </c>
      <c r="BW51" s="2"/>
      <c r="BX51" s="2">
        <f>+BR51+BP51-BT51</f>
        <v>5831052</v>
      </c>
      <c r="BY51" s="2"/>
      <c r="BZ51" s="64">
        <f>+BX51-GenBS!AC50</f>
        <v>0</v>
      </c>
      <c r="CB51" s="101"/>
      <c r="CC51" s="2"/>
    </row>
    <row r="52" spans="1:81" s="60" customFormat="1" ht="12">
      <c r="A52" s="13" t="s">
        <v>289</v>
      </c>
      <c r="C52" s="60" t="s">
        <v>248</v>
      </c>
      <c r="E52" s="60">
        <v>62026</v>
      </c>
      <c r="G52" s="2">
        <v>687987</v>
      </c>
      <c r="H52" s="2"/>
      <c r="I52" s="2">
        <v>50041</v>
      </c>
      <c r="J52" s="2"/>
      <c r="K52" s="2">
        <v>3148304</v>
      </c>
      <c r="L52" s="2"/>
      <c r="M52" s="2">
        <v>875</v>
      </c>
      <c r="N52" s="2"/>
      <c r="O52" s="2">
        <v>820618</v>
      </c>
      <c r="P52" s="2"/>
      <c r="Q52" s="2">
        <v>489504</v>
      </c>
      <c r="R52" s="2"/>
      <c r="S52" s="2">
        <v>18862</v>
      </c>
      <c r="T52" s="2"/>
      <c r="U52" s="2">
        <v>269036</v>
      </c>
      <c r="V52" s="2"/>
      <c r="W52" s="2">
        <v>243604</v>
      </c>
      <c r="X52" s="2"/>
      <c r="Y52" s="2">
        <v>32979</v>
      </c>
      <c r="Z52" s="2"/>
      <c r="AA52" s="2">
        <v>1295879</v>
      </c>
      <c r="AB52" s="13" t="s">
        <v>289</v>
      </c>
      <c r="AD52" s="60" t="s">
        <v>248</v>
      </c>
      <c r="AF52" s="2">
        <v>0</v>
      </c>
      <c r="AG52" s="2"/>
      <c r="AH52" s="2">
        <v>96578</v>
      </c>
      <c r="AI52" s="2"/>
      <c r="AJ52" s="2">
        <v>0</v>
      </c>
      <c r="AK52" s="13"/>
      <c r="AL52" s="2">
        <v>0</v>
      </c>
      <c r="AM52" s="2"/>
      <c r="AN52" s="2">
        <v>1618</v>
      </c>
      <c r="AO52" s="2"/>
      <c r="AP52" s="2">
        <v>32007</v>
      </c>
      <c r="AQ52" s="2"/>
      <c r="AR52" s="2">
        <v>72</v>
      </c>
      <c r="AS52" s="2"/>
      <c r="AT52" s="2"/>
      <c r="AU52" s="2"/>
      <c r="AV52" s="2">
        <v>0</v>
      </c>
      <c r="AW52" s="2"/>
      <c r="AX52" s="2">
        <v>0</v>
      </c>
      <c r="AY52" s="2"/>
      <c r="AZ52" s="2">
        <f t="shared" si="0"/>
        <v>7187964</v>
      </c>
      <c r="BA52" s="13" t="s">
        <v>289</v>
      </c>
      <c r="BC52" s="60" t="s">
        <v>248</v>
      </c>
      <c r="BD52" s="2"/>
      <c r="BE52" s="2"/>
      <c r="BF52" s="2">
        <v>0</v>
      </c>
      <c r="BG52" s="2"/>
      <c r="BH52" s="2">
        <v>0</v>
      </c>
      <c r="BI52" s="2"/>
      <c r="BJ52" s="2">
        <v>0</v>
      </c>
      <c r="BK52" s="2"/>
      <c r="BL52" s="2">
        <v>0</v>
      </c>
      <c r="BM52" s="2"/>
      <c r="BN52" s="2">
        <f t="shared" si="1"/>
        <v>7187964</v>
      </c>
      <c r="BO52" s="2"/>
      <c r="BP52" s="2">
        <f>GenRev!AW51-BN52</f>
        <v>257680</v>
      </c>
      <c r="BQ52" s="2"/>
      <c r="BR52" s="2">
        <v>9159323</v>
      </c>
      <c r="BS52" s="2"/>
      <c r="BT52" s="2">
        <v>0</v>
      </c>
      <c r="BU52" s="2"/>
      <c r="BV52" s="2">
        <f t="shared" si="2"/>
        <v>0</v>
      </c>
      <c r="BW52" s="2"/>
      <c r="BX52" s="2">
        <f t="shared" si="3"/>
        <v>9417003</v>
      </c>
      <c r="BY52" s="2"/>
      <c r="BZ52" s="36">
        <f>+BX52-GenBS!AC51</f>
        <v>0</v>
      </c>
      <c r="CC52" s="13"/>
    </row>
    <row r="53" spans="1:81" s="60" customFormat="1" ht="12">
      <c r="A53" s="13" t="s">
        <v>398</v>
      </c>
      <c r="B53" s="19"/>
      <c r="C53" s="19" t="s">
        <v>282</v>
      </c>
      <c r="G53" s="2">
        <v>1499983</v>
      </c>
      <c r="H53" s="2"/>
      <c r="I53" s="2">
        <v>521168</v>
      </c>
      <c r="J53" s="2"/>
      <c r="K53" s="2">
        <v>3713557</v>
      </c>
      <c r="L53" s="2"/>
      <c r="M53" s="2">
        <v>131718</v>
      </c>
      <c r="N53" s="2"/>
      <c r="O53" s="2">
        <v>994309</v>
      </c>
      <c r="P53" s="2"/>
      <c r="Q53" s="2">
        <v>1058668</v>
      </c>
      <c r="R53" s="2"/>
      <c r="S53" s="2">
        <v>60629</v>
      </c>
      <c r="T53" s="2"/>
      <c r="U53" s="2">
        <v>749491</v>
      </c>
      <c r="V53" s="2"/>
      <c r="W53" s="2">
        <v>358351</v>
      </c>
      <c r="X53" s="2"/>
      <c r="Y53" s="2">
        <v>0</v>
      </c>
      <c r="Z53" s="2"/>
      <c r="AA53" s="2">
        <v>1303583</v>
      </c>
      <c r="AB53" s="13" t="s">
        <v>398</v>
      </c>
      <c r="AC53" s="19"/>
      <c r="AD53" s="19" t="s">
        <v>282</v>
      </c>
      <c r="AF53" s="2">
        <v>16036</v>
      </c>
      <c r="AG53" s="2"/>
      <c r="AH53" s="2">
        <v>25763</v>
      </c>
      <c r="AI53" s="2"/>
      <c r="AJ53" s="2">
        <v>0</v>
      </c>
      <c r="AK53" s="13"/>
      <c r="AL53" s="2">
        <v>0</v>
      </c>
      <c r="AM53" s="2"/>
      <c r="AN53" s="2">
        <v>0</v>
      </c>
      <c r="AO53" s="2"/>
      <c r="AP53" s="2">
        <v>34033</v>
      </c>
      <c r="AQ53" s="2"/>
      <c r="AR53" s="2">
        <v>37185</v>
      </c>
      <c r="AS53" s="2"/>
      <c r="AT53" s="2"/>
      <c r="AU53" s="2"/>
      <c r="AV53" s="2">
        <v>17723</v>
      </c>
      <c r="AW53" s="2"/>
      <c r="AX53" s="2">
        <v>7220</v>
      </c>
      <c r="AY53" s="2"/>
      <c r="AZ53" s="2">
        <f t="shared" si="0"/>
        <v>10529417</v>
      </c>
      <c r="BA53" s="13" t="s">
        <v>398</v>
      </c>
      <c r="BB53" s="19"/>
      <c r="BC53" s="19" t="s">
        <v>282</v>
      </c>
      <c r="BD53" s="2"/>
      <c r="BE53" s="2"/>
      <c r="BF53" s="2">
        <v>1555271</v>
      </c>
      <c r="BG53" s="2"/>
      <c r="BH53" s="2">
        <v>0</v>
      </c>
      <c r="BI53" s="2"/>
      <c r="BJ53" s="2"/>
      <c r="BK53" s="2"/>
      <c r="BL53" s="2">
        <v>0</v>
      </c>
      <c r="BM53" s="2"/>
      <c r="BN53" s="2">
        <f t="shared" si="1"/>
        <v>12084688</v>
      </c>
      <c r="BO53" s="2"/>
      <c r="BP53" s="2">
        <f>GenRev!AW52-BN53</f>
        <v>-271538</v>
      </c>
      <c r="BQ53" s="2"/>
      <c r="BR53" s="2">
        <v>8395471</v>
      </c>
      <c r="BS53" s="2"/>
      <c r="BT53" s="2">
        <v>0</v>
      </c>
      <c r="BU53" s="2"/>
      <c r="BV53" s="2">
        <f t="shared" si="2"/>
        <v>0</v>
      </c>
      <c r="BW53" s="2"/>
      <c r="BX53" s="2">
        <f t="shared" si="3"/>
        <v>8123933</v>
      </c>
      <c r="BY53" s="2"/>
      <c r="BZ53" s="36">
        <f>+BX53-GenBS!AC52</f>
        <v>0</v>
      </c>
      <c r="CB53" s="3" t="s">
        <v>402</v>
      </c>
      <c r="CC53" s="13"/>
    </row>
    <row r="54" spans="1:81" s="60" customFormat="1" ht="12">
      <c r="A54" s="13" t="s">
        <v>423</v>
      </c>
      <c r="C54" s="60" t="s">
        <v>157</v>
      </c>
      <c r="E54" s="60">
        <v>51607</v>
      </c>
      <c r="G54" s="2">
        <v>382865</v>
      </c>
      <c r="H54" s="2"/>
      <c r="I54" s="2">
        <v>0</v>
      </c>
      <c r="J54" s="2"/>
      <c r="K54" s="2">
        <v>3632214</v>
      </c>
      <c r="L54" s="2"/>
      <c r="M54" s="2">
        <v>0</v>
      </c>
      <c r="N54" s="2"/>
      <c r="O54" s="2">
        <v>372492</v>
      </c>
      <c r="P54" s="2"/>
      <c r="Q54" s="2">
        <v>86757</v>
      </c>
      <c r="R54" s="2"/>
      <c r="S54" s="2">
        <v>330126</v>
      </c>
      <c r="T54" s="2"/>
      <c r="U54" s="2">
        <v>768812</v>
      </c>
      <c r="V54" s="2"/>
      <c r="W54" s="2">
        <v>451415</v>
      </c>
      <c r="X54" s="2"/>
      <c r="Y54" s="2">
        <v>61404</v>
      </c>
      <c r="Z54" s="2"/>
      <c r="AA54" s="2">
        <v>914652</v>
      </c>
      <c r="AB54" s="13" t="s">
        <v>266</v>
      </c>
      <c r="AD54" s="60" t="s">
        <v>157</v>
      </c>
      <c r="AF54" s="2">
        <v>4471</v>
      </c>
      <c r="AG54" s="2"/>
      <c r="AH54" s="2">
        <v>40932</v>
      </c>
      <c r="AI54" s="2"/>
      <c r="AJ54" s="2">
        <v>0</v>
      </c>
      <c r="AK54" s="13"/>
      <c r="AL54" s="2">
        <v>0</v>
      </c>
      <c r="AM54" s="2"/>
      <c r="AN54" s="2">
        <v>0</v>
      </c>
      <c r="AO54" s="2"/>
      <c r="AP54" s="2">
        <v>5978</v>
      </c>
      <c r="AQ54" s="2"/>
      <c r="AR54" s="2">
        <v>0</v>
      </c>
      <c r="AS54" s="2"/>
      <c r="AT54" s="2"/>
      <c r="AU54" s="2"/>
      <c r="AV54" s="2">
        <v>0</v>
      </c>
      <c r="AW54" s="2"/>
      <c r="AX54" s="2">
        <v>0</v>
      </c>
      <c r="AY54" s="2"/>
      <c r="AZ54" s="2">
        <f t="shared" si="0"/>
        <v>7052118</v>
      </c>
      <c r="BA54" s="13" t="s">
        <v>266</v>
      </c>
      <c r="BC54" s="60" t="s">
        <v>157</v>
      </c>
      <c r="BD54" s="2"/>
      <c r="BE54" s="2"/>
      <c r="BF54" s="2">
        <v>1042364</v>
      </c>
      <c r="BG54" s="2"/>
      <c r="BH54" s="2">
        <v>0</v>
      </c>
      <c r="BI54" s="2"/>
      <c r="BJ54" s="2">
        <v>0</v>
      </c>
      <c r="BK54" s="2"/>
      <c r="BL54" s="2">
        <v>0</v>
      </c>
      <c r="BM54" s="2"/>
      <c r="BN54" s="2">
        <f t="shared" si="1"/>
        <v>8094482</v>
      </c>
      <c r="BO54" s="2"/>
      <c r="BP54" s="2">
        <f>GenRev!AW53-BN54</f>
        <v>-949187</v>
      </c>
      <c r="BQ54" s="2"/>
      <c r="BR54" s="2">
        <v>3145876</v>
      </c>
      <c r="BS54" s="2"/>
      <c r="BT54" s="2">
        <v>0</v>
      </c>
      <c r="BU54" s="2"/>
      <c r="BV54" s="2">
        <f t="shared" si="2"/>
        <v>0</v>
      </c>
      <c r="BW54" s="2"/>
      <c r="BX54" s="2">
        <f t="shared" si="3"/>
        <v>2196689</v>
      </c>
      <c r="BY54" s="2"/>
      <c r="BZ54" s="36">
        <f>+BX54-GenBS!AC53</f>
        <v>0</v>
      </c>
      <c r="CC54" s="13"/>
    </row>
    <row r="55" spans="1:81" s="19" customFormat="1" ht="12">
      <c r="A55" s="13" t="s">
        <v>284</v>
      </c>
      <c r="C55" s="19" t="s">
        <v>285</v>
      </c>
      <c r="E55" s="19">
        <v>65268</v>
      </c>
      <c r="G55" s="2">
        <v>215530</v>
      </c>
      <c r="H55" s="2"/>
      <c r="I55" s="2">
        <v>5790007</v>
      </c>
      <c r="J55" s="2"/>
      <c r="K55" s="2">
        <v>0</v>
      </c>
      <c r="L55" s="2"/>
      <c r="M55" s="2">
        <v>0</v>
      </c>
      <c r="N55" s="2"/>
      <c r="O55" s="2">
        <v>672285</v>
      </c>
      <c r="P55" s="2"/>
      <c r="Q55" s="2">
        <v>128522</v>
      </c>
      <c r="R55" s="2"/>
      <c r="S55" s="2">
        <v>241966</v>
      </c>
      <c r="T55" s="2"/>
      <c r="U55" s="2">
        <v>854341</v>
      </c>
      <c r="V55" s="2"/>
      <c r="W55" s="2">
        <v>386866</v>
      </c>
      <c r="X55" s="2"/>
      <c r="Y55" s="2">
        <v>165914</v>
      </c>
      <c r="Z55" s="2"/>
      <c r="AA55" s="2">
        <v>1018975</v>
      </c>
      <c r="AB55" s="2" t="s">
        <v>284</v>
      </c>
      <c r="AD55" s="19" t="s">
        <v>285</v>
      </c>
      <c r="AF55" s="2">
        <v>9339</v>
      </c>
      <c r="AG55" s="2"/>
      <c r="AH55" s="2">
        <v>84066</v>
      </c>
      <c r="AI55" s="2"/>
      <c r="AJ55" s="2">
        <v>0</v>
      </c>
      <c r="AK55" s="2"/>
      <c r="AL55" s="2">
        <v>0</v>
      </c>
      <c r="AM55" s="2"/>
      <c r="AN55" s="2">
        <v>585</v>
      </c>
      <c r="AO55" s="2"/>
      <c r="AP55" s="2">
        <v>26287</v>
      </c>
      <c r="AQ55" s="2"/>
      <c r="AR55" s="2">
        <v>10698</v>
      </c>
      <c r="AS55" s="2"/>
      <c r="AT55" s="2"/>
      <c r="AU55" s="2"/>
      <c r="AV55" s="2">
        <v>28332</v>
      </c>
      <c r="AW55" s="2"/>
      <c r="AX55" s="2">
        <v>6528</v>
      </c>
      <c r="AY55" s="2"/>
      <c r="AZ55" s="2">
        <f t="shared" si="0"/>
        <v>9640241</v>
      </c>
      <c r="BA55" s="2" t="s">
        <v>284</v>
      </c>
      <c r="BC55" s="19" t="s">
        <v>285</v>
      </c>
      <c r="BD55" s="2"/>
      <c r="BE55" s="2"/>
      <c r="BF55" s="2">
        <v>121639</v>
      </c>
      <c r="BG55" s="2"/>
      <c r="BH55" s="2">
        <v>0</v>
      </c>
      <c r="BI55" s="2"/>
      <c r="BJ55" s="2">
        <v>0</v>
      </c>
      <c r="BK55" s="2"/>
      <c r="BL55" s="2">
        <v>0</v>
      </c>
      <c r="BM55" s="2"/>
      <c r="BN55" s="2">
        <f t="shared" si="1"/>
        <v>9761880</v>
      </c>
      <c r="BO55" s="2"/>
      <c r="BP55" s="2">
        <f>GenRev!AW54-BN55</f>
        <v>683840</v>
      </c>
      <c r="BQ55" s="2"/>
      <c r="BR55" s="2">
        <v>1221464</v>
      </c>
      <c r="BS55" s="2"/>
      <c r="BT55" s="2">
        <v>0</v>
      </c>
      <c r="BU55" s="2"/>
      <c r="BV55" s="2">
        <f t="shared" si="2"/>
        <v>0</v>
      </c>
      <c r="BW55" s="2"/>
      <c r="BX55" s="2">
        <f t="shared" si="3"/>
        <v>1905304</v>
      </c>
      <c r="BY55" s="2"/>
      <c r="BZ55" s="36">
        <f>+BX55-GenBS!AC54</f>
        <v>0</v>
      </c>
      <c r="CC55" s="2"/>
    </row>
    <row r="56" spans="1:81" s="19" customFormat="1" ht="12">
      <c r="A56" s="13" t="s">
        <v>342</v>
      </c>
      <c r="C56" s="19" t="s">
        <v>252</v>
      </c>
      <c r="E56" s="19">
        <v>51631</v>
      </c>
      <c r="G56" s="2">
        <v>1525916</v>
      </c>
      <c r="H56" s="2"/>
      <c r="I56" s="2">
        <v>5615</v>
      </c>
      <c r="J56" s="2"/>
      <c r="K56" s="2">
        <v>5373114</v>
      </c>
      <c r="L56" s="2"/>
      <c r="M56" s="2">
        <v>0</v>
      </c>
      <c r="N56" s="2"/>
      <c r="O56" s="2">
        <v>1054134</v>
      </c>
      <c r="P56" s="2"/>
      <c r="Q56" s="2">
        <v>339466</v>
      </c>
      <c r="R56" s="2"/>
      <c r="S56" s="2">
        <v>65826</v>
      </c>
      <c r="T56" s="2"/>
      <c r="U56" s="2">
        <v>1754949</v>
      </c>
      <c r="V56" s="2"/>
      <c r="W56" s="2">
        <v>529291</v>
      </c>
      <c r="X56" s="2"/>
      <c r="Y56" s="2">
        <v>39693</v>
      </c>
      <c r="Z56" s="2"/>
      <c r="AA56" s="2">
        <v>1085407</v>
      </c>
      <c r="AB56" s="2" t="s">
        <v>342</v>
      </c>
      <c r="AD56" s="19" t="s">
        <v>252</v>
      </c>
      <c r="AF56" s="2">
        <v>47484</v>
      </c>
      <c r="AG56" s="2"/>
      <c r="AH56" s="2">
        <v>70364</v>
      </c>
      <c r="AI56" s="2"/>
      <c r="AJ56" s="2">
        <v>0</v>
      </c>
      <c r="AK56" s="2"/>
      <c r="AL56" s="2">
        <v>0</v>
      </c>
      <c r="AM56" s="2"/>
      <c r="AN56" s="2">
        <v>1869</v>
      </c>
      <c r="AO56" s="2"/>
      <c r="AP56" s="2">
        <v>91006</v>
      </c>
      <c r="AQ56" s="2"/>
      <c r="AR56" s="2">
        <v>0</v>
      </c>
      <c r="AS56" s="2"/>
      <c r="AT56" s="2"/>
      <c r="AU56" s="2"/>
      <c r="AV56" s="2">
        <v>144000</v>
      </c>
      <c r="AW56" s="2"/>
      <c r="AX56" s="2">
        <v>282927</v>
      </c>
      <c r="AY56" s="2"/>
      <c r="AZ56" s="2">
        <f t="shared" si="0"/>
        <v>12411061</v>
      </c>
      <c r="BA56" s="2" t="s">
        <v>342</v>
      </c>
      <c r="BC56" s="19" t="s">
        <v>252</v>
      </c>
      <c r="BD56" s="2"/>
      <c r="BE56" s="2"/>
      <c r="BF56" s="2">
        <v>522985</v>
      </c>
      <c r="BG56" s="2"/>
      <c r="BH56" s="2">
        <v>0</v>
      </c>
      <c r="BI56" s="2"/>
      <c r="BJ56" s="2">
        <v>0</v>
      </c>
      <c r="BK56" s="2"/>
      <c r="BL56" s="2">
        <v>0</v>
      </c>
      <c r="BM56" s="2"/>
      <c r="BN56" s="2">
        <f t="shared" si="1"/>
        <v>12934046</v>
      </c>
      <c r="BO56" s="2"/>
      <c r="BP56" s="2">
        <f>GenRev!AW55-BN56</f>
        <v>641425</v>
      </c>
      <c r="BQ56" s="2"/>
      <c r="BR56" s="2">
        <v>8536218</v>
      </c>
      <c r="BS56" s="2"/>
      <c r="BT56" s="2">
        <v>0</v>
      </c>
      <c r="BU56" s="2"/>
      <c r="BV56" s="2">
        <f t="shared" si="2"/>
        <v>0</v>
      </c>
      <c r="BW56" s="2"/>
      <c r="BX56" s="2">
        <f t="shared" si="3"/>
        <v>9177643</v>
      </c>
      <c r="BY56" s="2"/>
      <c r="BZ56" s="36">
        <f>+BX56-GenBS!AC55</f>
        <v>0</v>
      </c>
      <c r="CC56" s="2"/>
    </row>
    <row r="57" spans="1:81" s="19" customFormat="1" ht="12">
      <c r="A57" s="13" t="s">
        <v>270</v>
      </c>
      <c r="C57" s="19" t="s">
        <v>171</v>
      </c>
      <c r="E57" s="19">
        <v>62802</v>
      </c>
      <c r="G57" s="2">
        <v>251363</v>
      </c>
      <c r="H57" s="2"/>
      <c r="I57" s="2">
        <v>149295</v>
      </c>
      <c r="J57" s="2"/>
      <c r="K57" s="2">
        <v>3075210</v>
      </c>
      <c r="L57" s="2"/>
      <c r="M57" s="2">
        <v>57462</v>
      </c>
      <c r="N57" s="2"/>
      <c r="O57" s="2">
        <v>464421</v>
      </c>
      <c r="P57" s="2"/>
      <c r="Q57" s="2">
        <v>102626</v>
      </c>
      <c r="R57" s="2"/>
      <c r="S57" s="2">
        <v>55375</v>
      </c>
      <c r="T57" s="2"/>
      <c r="U57" s="2">
        <v>393220</v>
      </c>
      <c r="V57" s="2"/>
      <c r="W57" s="2">
        <v>438857</v>
      </c>
      <c r="X57" s="2"/>
      <c r="Y57" s="2">
        <v>2482</v>
      </c>
      <c r="Z57" s="2"/>
      <c r="AA57" s="2">
        <v>690263</v>
      </c>
      <c r="AB57" s="2" t="s">
        <v>270</v>
      </c>
      <c r="AD57" s="19" t="s">
        <v>171</v>
      </c>
      <c r="AF57" s="2">
        <v>0</v>
      </c>
      <c r="AG57" s="2"/>
      <c r="AH57" s="2">
        <v>110261</v>
      </c>
      <c r="AI57" s="2"/>
      <c r="AJ57" s="2">
        <v>0</v>
      </c>
      <c r="AK57" s="2"/>
      <c r="AL57" s="2">
        <v>0</v>
      </c>
      <c r="AM57" s="2"/>
      <c r="AN57" s="2">
        <v>0</v>
      </c>
      <c r="AO57" s="2"/>
      <c r="AP57" s="2">
        <v>30904</v>
      </c>
      <c r="AQ57" s="2"/>
      <c r="AR57" s="2">
        <v>0</v>
      </c>
      <c r="AS57" s="2"/>
      <c r="AT57" s="2"/>
      <c r="AU57" s="2"/>
      <c r="AV57" s="2">
        <v>0</v>
      </c>
      <c r="AW57" s="2"/>
      <c r="AX57" s="2">
        <v>0</v>
      </c>
      <c r="AY57" s="2"/>
      <c r="AZ57" s="2">
        <f t="shared" si="0"/>
        <v>5821739</v>
      </c>
      <c r="BA57" s="2" t="s">
        <v>270</v>
      </c>
      <c r="BC57" s="19" t="s">
        <v>171</v>
      </c>
      <c r="BD57" s="2"/>
      <c r="BE57" s="2"/>
      <c r="BF57" s="2">
        <v>290000</v>
      </c>
      <c r="BG57" s="2"/>
      <c r="BH57" s="2">
        <v>0</v>
      </c>
      <c r="BI57" s="2"/>
      <c r="BJ57" s="2">
        <v>0</v>
      </c>
      <c r="BK57" s="2"/>
      <c r="BL57" s="2">
        <v>0</v>
      </c>
      <c r="BM57" s="2"/>
      <c r="BN57" s="2">
        <f t="shared" si="1"/>
        <v>6111739</v>
      </c>
      <c r="BO57" s="2"/>
      <c r="BP57" s="2">
        <f>GenRev!AW56-BN57</f>
        <v>1138473</v>
      </c>
      <c r="BQ57" s="2"/>
      <c r="BR57" s="2">
        <v>5595860</v>
      </c>
      <c r="BS57" s="2"/>
      <c r="BT57" s="2">
        <v>0</v>
      </c>
      <c r="BU57" s="2"/>
      <c r="BV57" s="2">
        <f t="shared" si="2"/>
        <v>0</v>
      </c>
      <c r="BW57" s="2"/>
      <c r="BX57" s="2">
        <f t="shared" si="3"/>
        <v>6734333</v>
      </c>
      <c r="BY57" s="2"/>
      <c r="BZ57" s="36">
        <f>+BX57-GenBS!AC56</f>
        <v>0</v>
      </c>
      <c r="CC57" s="2"/>
    </row>
    <row r="58" spans="1:81" s="19" customFormat="1" ht="12">
      <c r="A58" s="13" t="s">
        <v>287</v>
      </c>
      <c r="C58" s="19" t="s">
        <v>220</v>
      </c>
      <c r="E58" s="19">
        <v>62125</v>
      </c>
      <c r="G58" s="2">
        <v>2012520</v>
      </c>
      <c r="H58" s="2"/>
      <c r="I58" s="2">
        <v>1202072</v>
      </c>
      <c r="J58" s="2"/>
      <c r="K58" s="2">
        <v>8988658</v>
      </c>
      <c r="L58" s="2"/>
      <c r="M58" s="2">
        <v>35515</v>
      </c>
      <c r="N58" s="2"/>
      <c r="O58" s="2">
        <v>847420</v>
      </c>
      <c r="P58" s="2"/>
      <c r="Q58" s="2">
        <v>165555</v>
      </c>
      <c r="R58" s="2"/>
      <c r="S58" s="2">
        <v>33115</v>
      </c>
      <c r="T58" s="2"/>
      <c r="U58" s="2">
        <v>2026127</v>
      </c>
      <c r="V58" s="2"/>
      <c r="W58" s="2">
        <v>553727</v>
      </c>
      <c r="X58" s="2"/>
      <c r="Y58" s="2">
        <v>163732</v>
      </c>
      <c r="Z58" s="2"/>
      <c r="AA58" s="2">
        <v>1377909</v>
      </c>
      <c r="AB58" s="2" t="s">
        <v>287</v>
      </c>
      <c r="AD58" s="19" t="s">
        <v>220</v>
      </c>
      <c r="AF58" s="2">
        <v>74308</v>
      </c>
      <c r="AG58" s="2"/>
      <c r="AH58" s="2">
        <v>728037</v>
      </c>
      <c r="AI58" s="2"/>
      <c r="AJ58" s="2">
        <v>0</v>
      </c>
      <c r="AK58" s="2"/>
      <c r="AL58" s="2">
        <v>0</v>
      </c>
      <c r="AM58" s="2"/>
      <c r="AN58" s="2">
        <v>96145</v>
      </c>
      <c r="AO58" s="2"/>
      <c r="AP58" s="2">
        <v>62131</v>
      </c>
      <c r="AQ58" s="2"/>
      <c r="AR58" s="2">
        <v>98228</v>
      </c>
      <c r="AS58" s="2"/>
      <c r="AT58" s="2"/>
      <c r="AU58" s="2"/>
      <c r="AV58" s="2">
        <v>0</v>
      </c>
      <c r="AW58" s="2"/>
      <c r="AX58" s="2">
        <v>0</v>
      </c>
      <c r="AY58" s="2"/>
      <c r="AZ58" s="2">
        <f t="shared" si="0"/>
        <v>18465199</v>
      </c>
      <c r="BA58" s="2" t="s">
        <v>287</v>
      </c>
      <c r="BC58" s="19" t="s">
        <v>220</v>
      </c>
      <c r="BD58" s="2"/>
      <c r="BE58" s="2"/>
      <c r="BF58" s="2">
        <v>123758</v>
      </c>
      <c r="BG58" s="2"/>
      <c r="BH58" s="2">
        <v>0</v>
      </c>
      <c r="BI58" s="2"/>
      <c r="BJ58" s="2">
        <v>0</v>
      </c>
      <c r="BK58" s="2"/>
      <c r="BL58" s="2">
        <v>0</v>
      </c>
      <c r="BM58" s="2"/>
      <c r="BN58" s="2">
        <f t="shared" si="1"/>
        <v>18588957</v>
      </c>
      <c r="BO58" s="2"/>
      <c r="BP58" s="2">
        <f>GenRev!AW57-BN58</f>
        <v>-1134301</v>
      </c>
      <c r="BQ58" s="2"/>
      <c r="BR58" s="2">
        <v>6718139</v>
      </c>
      <c r="BS58" s="2"/>
      <c r="BT58" s="2">
        <v>0</v>
      </c>
      <c r="BU58" s="2"/>
      <c r="BV58" s="2">
        <f t="shared" si="2"/>
        <v>0</v>
      </c>
      <c r="BW58" s="2"/>
      <c r="BX58" s="2">
        <f t="shared" si="3"/>
        <v>5583838</v>
      </c>
      <c r="BY58" s="2"/>
      <c r="BZ58" s="36">
        <f>+BX58-GenBS!AC57</f>
        <v>0</v>
      </c>
      <c r="CC58" s="2"/>
    </row>
    <row r="59" spans="1:81" s="19" customFormat="1" ht="12">
      <c r="A59" s="13" t="s">
        <v>343</v>
      </c>
      <c r="C59" s="19" t="s">
        <v>240</v>
      </c>
      <c r="E59" s="19">
        <v>51458</v>
      </c>
      <c r="G59" s="2">
        <v>172886</v>
      </c>
      <c r="H59" s="2"/>
      <c r="I59" s="2">
        <v>129935</v>
      </c>
      <c r="J59" s="2"/>
      <c r="K59" s="2">
        <v>8476809</v>
      </c>
      <c r="L59" s="2"/>
      <c r="M59" s="2">
        <v>0</v>
      </c>
      <c r="N59" s="2"/>
      <c r="O59" s="2">
        <v>497928</v>
      </c>
      <c r="P59" s="2"/>
      <c r="Q59" s="2">
        <v>598385</v>
      </c>
      <c r="R59" s="2"/>
      <c r="S59" s="2">
        <v>78429</v>
      </c>
      <c r="T59" s="2"/>
      <c r="U59" s="2">
        <v>760681</v>
      </c>
      <c r="V59" s="2"/>
      <c r="W59" s="2">
        <v>484967</v>
      </c>
      <c r="X59" s="2"/>
      <c r="Y59" s="2">
        <v>0</v>
      </c>
      <c r="Z59" s="2"/>
      <c r="AA59" s="2">
        <v>1596899</v>
      </c>
      <c r="AB59" s="2" t="s">
        <v>343</v>
      </c>
      <c r="AD59" s="19" t="s">
        <v>240</v>
      </c>
      <c r="AF59" s="2">
        <v>67636</v>
      </c>
      <c r="AG59" s="2"/>
      <c r="AH59" s="2">
        <v>0</v>
      </c>
      <c r="AI59" s="2"/>
      <c r="AJ59" s="2">
        <v>0</v>
      </c>
      <c r="AK59" s="2"/>
      <c r="AL59" s="2">
        <v>0</v>
      </c>
      <c r="AM59" s="2"/>
      <c r="AN59" s="2">
        <v>0</v>
      </c>
      <c r="AO59" s="2"/>
      <c r="AP59" s="2">
        <v>8748</v>
      </c>
      <c r="AQ59" s="2"/>
      <c r="AR59" s="2">
        <v>0</v>
      </c>
      <c r="AS59" s="2"/>
      <c r="AT59" s="2"/>
      <c r="AU59" s="2"/>
      <c r="AV59" s="2">
        <v>0</v>
      </c>
      <c r="AW59" s="2"/>
      <c r="AX59" s="2">
        <v>0</v>
      </c>
      <c r="AY59" s="2"/>
      <c r="AZ59" s="2">
        <f t="shared" si="0"/>
        <v>12873303</v>
      </c>
      <c r="BA59" s="2" t="s">
        <v>343</v>
      </c>
      <c r="BC59" s="19" t="s">
        <v>240</v>
      </c>
      <c r="BD59" s="2"/>
      <c r="BE59" s="2"/>
      <c r="BF59" s="2">
        <v>1601439</v>
      </c>
      <c r="BG59" s="2"/>
      <c r="BH59" s="2">
        <v>0</v>
      </c>
      <c r="BI59" s="2"/>
      <c r="BJ59" s="2">
        <v>0</v>
      </c>
      <c r="BK59" s="2"/>
      <c r="BL59" s="2">
        <v>0</v>
      </c>
      <c r="BM59" s="2"/>
      <c r="BN59" s="2">
        <f t="shared" si="1"/>
        <v>14474742</v>
      </c>
      <c r="BO59" s="2"/>
      <c r="BP59" s="2">
        <f>GenRev!AW58-BN59</f>
        <v>-305195</v>
      </c>
      <c r="BQ59" s="2"/>
      <c r="BR59" s="2">
        <v>5243216</v>
      </c>
      <c r="BS59" s="2"/>
      <c r="BT59" s="2">
        <v>0</v>
      </c>
      <c r="BU59" s="2"/>
      <c r="BV59" s="2">
        <f t="shared" si="2"/>
        <v>0</v>
      </c>
      <c r="BW59" s="2"/>
      <c r="BX59" s="2">
        <f t="shared" si="3"/>
        <v>4938021</v>
      </c>
      <c r="BY59" s="2"/>
      <c r="BZ59" s="36">
        <f>+BX59-GenBS!AC58</f>
        <v>0</v>
      </c>
      <c r="CC59" s="2"/>
    </row>
    <row r="60" spans="1:81" s="19" customFormat="1" ht="12">
      <c r="A60" s="13" t="s">
        <v>344</v>
      </c>
      <c r="C60" s="19" t="s">
        <v>256</v>
      </c>
      <c r="E60" s="19">
        <v>51672</v>
      </c>
      <c r="G60" s="2">
        <v>0</v>
      </c>
      <c r="H60" s="2"/>
      <c r="I60" s="2">
        <v>0</v>
      </c>
      <c r="J60" s="2"/>
      <c r="K60" s="2">
        <v>4373714</v>
      </c>
      <c r="L60" s="2"/>
      <c r="M60" s="2">
        <v>0</v>
      </c>
      <c r="N60" s="2"/>
      <c r="O60" s="2">
        <v>305990</v>
      </c>
      <c r="P60" s="2"/>
      <c r="Q60" s="2">
        <v>157512</v>
      </c>
      <c r="R60" s="2"/>
      <c r="S60" s="2">
        <v>84757</v>
      </c>
      <c r="T60" s="2"/>
      <c r="U60" s="2">
        <v>463566</v>
      </c>
      <c r="V60" s="2"/>
      <c r="W60" s="2">
        <v>344471</v>
      </c>
      <c r="X60" s="2"/>
      <c r="Y60" s="2">
        <v>0</v>
      </c>
      <c r="Z60" s="2"/>
      <c r="AA60" s="2">
        <v>594768</v>
      </c>
      <c r="AB60" s="2" t="s">
        <v>344</v>
      </c>
      <c r="AD60" s="19" t="s">
        <v>256</v>
      </c>
      <c r="AF60" s="2">
        <v>2747</v>
      </c>
      <c r="AG60" s="2"/>
      <c r="AH60" s="2">
        <v>290826</v>
      </c>
      <c r="AI60" s="2"/>
      <c r="AJ60" s="2">
        <v>0</v>
      </c>
      <c r="AK60" s="2"/>
      <c r="AL60" s="2">
        <v>0</v>
      </c>
      <c r="AM60" s="2"/>
      <c r="AN60" s="2">
        <v>0</v>
      </c>
      <c r="AO60" s="2"/>
      <c r="AP60" s="2">
        <v>22480</v>
      </c>
      <c r="AQ60" s="2"/>
      <c r="AR60" s="2">
        <v>0</v>
      </c>
      <c r="AS60" s="2"/>
      <c r="AT60" s="2"/>
      <c r="AU60" s="2"/>
      <c r="AV60" s="2">
        <v>0</v>
      </c>
      <c r="AW60" s="2"/>
      <c r="AX60" s="2">
        <v>0</v>
      </c>
      <c r="AY60" s="2"/>
      <c r="AZ60" s="2">
        <f t="shared" si="0"/>
        <v>6640831</v>
      </c>
      <c r="BA60" s="2" t="s">
        <v>344</v>
      </c>
      <c r="BC60" s="19" t="s">
        <v>256</v>
      </c>
      <c r="BD60" s="2"/>
      <c r="BE60" s="2"/>
      <c r="BF60" s="2">
        <v>565000</v>
      </c>
      <c r="BG60" s="2"/>
      <c r="BH60" s="2">
        <v>0</v>
      </c>
      <c r="BI60" s="2"/>
      <c r="BJ60" s="2">
        <v>0</v>
      </c>
      <c r="BK60" s="2"/>
      <c r="BL60" s="2">
        <v>0</v>
      </c>
      <c r="BM60" s="2"/>
      <c r="BN60" s="2">
        <f t="shared" si="1"/>
        <v>7205831</v>
      </c>
      <c r="BO60" s="2"/>
      <c r="BP60" s="2">
        <f>GenRev!AW59-BN60</f>
        <v>152908</v>
      </c>
      <c r="BQ60" s="2"/>
      <c r="BR60" s="2">
        <v>2071125</v>
      </c>
      <c r="BS60" s="2"/>
      <c r="BT60" s="2">
        <v>0</v>
      </c>
      <c r="BU60" s="2"/>
      <c r="BV60" s="2">
        <f t="shared" si="2"/>
        <v>0</v>
      </c>
      <c r="BW60" s="2"/>
      <c r="BX60" s="2">
        <f t="shared" si="3"/>
        <v>2224033</v>
      </c>
      <c r="BY60" s="2"/>
      <c r="BZ60" s="36">
        <f>+BX60-GenBS!AC59</f>
        <v>0</v>
      </c>
      <c r="CC60" s="2"/>
    </row>
    <row r="61" spans="1:81" s="19" customFormat="1" ht="12">
      <c r="A61" s="13" t="s">
        <v>291</v>
      </c>
      <c r="C61" s="19" t="s">
        <v>258</v>
      </c>
      <c r="E61" s="19">
        <v>51474</v>
      </c>
      <c r="G61" s="2">
        <v>0</v>
      </c>
      <c r="H61" s="2"/>
      <c r="I61" s="2">
        <v>148623</v>
      </c>
      <c r="J61" s="2"/>
      <c r="K61" s="2">
        <v>6811151</v>
      </c>
      <c r="L61" s="2"/>
      <c r="M61" s="2">
        <v>0</v>
      </c>
      <c r="N61" s="2"/>
      <c r="O61" s="2">
        <v>885350</v>
      </c>
      <c r="P61" s="2"/>
      <c r="Q61" s="2">
        <v>358370</v>
      </c>
      <c r="R61" s="2"/>
      <c r="S61" s="2">
        <v>20792</v>
      </c>
      <c r="T61" s="2"/>
      <c r="U61" s="2">
        <v>1051535</v>
      </c>
      <c r="V61" s="2"/>
      <c r="W61" s="2">
        <v>527431</v>
      </c>
      <c r="X61" s="2"/>
      <c r="Y61" s="2">
        <v>59474</v>
      </c>
      <c r="Z61" s="2"/>
      <c r="AA61" s="2">
        <v>840457</v>
      </c>
      <c r="AB61" s="2" t="s">
        <v>291</v>
      </c>
      <c r="AD61" s="19" t="s">
        <v>258</v>
      </c>
      <c r="AF61" s="2">
        <v>127554</v>
      </c>
      <c r="AG61" s="2"/>
      <c r="AH61" s="2">
        <v>646869</v>
      </c>
      <c r="AI61" s="2"/>
      <c r="AJ61" s="2">
        <v>0</v>
      </c>
      <c r="AK61" s="2"/>
      <c r="AL61" s="2">
        <v>0</v>
      </c>
      <c r="AM61" s="2"/>
      <c r="AN61" s="2">
        <v>17014</v>
      </c>
      <c r="AO61" s="2"/>
      <c r="AP61" s="2">
        <v>65910</v>
      </c>
      <c r="AQ61" s="2"/>
      <c r="AR61" s="2">
        <v>117289</v>
      </c>
      <c r="AS61" s="2"/>
      <c r="AT61" s="2"/>
      <c r="AU61" s="2"/>
      <c r="AV61" s="2">
        <v>195683</v>
      </c>
      <c r="AW61" s="2"/>
      <c r="AX61" s="2">
        <v>8067</v>
      </c>
      <c r="AY61" s="2"/>
      <c r="AZ61" s="2">
        <f t="shared" si="0"/>
        <v>11881569</v>
      </c>
      <c r="BA61" s="2" t="s">
        <v>291</v>
      </c>
      <c r="BC61" s="19" t="s">
        <v>258</v>
      </c>
      <c r="BD61" s="2"/>
      <c r="BE61" s="2"/>
      <c r="BF61" s="2">
        <v>768021</v>
      </c>
      <c r="BG61" s="2"/>
      <c r="BH61" s="2">
        <v>0</v>
      </c>
      <c r="BI61" s="2"/>
      <c r="BJ61" s="2">
        <v>0</v>
      </c>
      <c r="BK61" s="2"/>
      <c r="BL61" s="2">
        <v>0</v>
      </c>
      <c r="BM61" s="2"/>
      <c r="BN61" s="2">
        <f t="shared" si="1"/>
        <v>12649590</v>
      </c>
      <c r="BO61" s="2"/>
      <c r="BP61" s="2">
        <f>GenRev!AW60-BN61</f>
        <v>1946632</v>
      </c>
      <c r="BQ61" s="2"/>
      <c r="BR61" s="2">
        <v>7196316</v>
      </c>
      <c r="BS61" s="2"/>
      <c r="BT61" s="2">
        <v>0</v>
      </c>
      <c r="BU61" s="2"/>
      <c r="BV61" s="2">
        <f t="shared" si="2"/>
        <v>0</v>
      </c>
      <c r="BW61" s="2"/>
      <c r="BX61" s="2">
        <f t="shared" si="3"/>
        <v>9142948</v>
      </c>
      <c r="BY61" s="2"/>
      <c r="BZ61" s="36">
        <f>+BX61-GenBS!AC60</f>
        <v>0</v>
      </c>
      <c r="CC61" s="2"/>
    </row>
    <row r="62" spans="1:81" s="19" customFormat="1" ht="12">
      <c r="A62" s="13" t="s">
        <v>372</v>
      </c>
      <c r="C62" s="19" t="s">
        <v>260</v>
      </c>
      <c r="E62" s="19">
        <v>51698</v>
      </c>
      <c r="G62" s="2">
        <v>742216</v>
      </c>
      <c r="H62" s="2"/>
      <c r="I62" s="2">
        <v>2200339</v>
      </c>
      <c r="J62" s="2"/>
      <c r="K62" s="2">
        <v>0</v>
      </c>
      <c r="L62" s="2"/>
      <c r="M62" s="2">
        <v>0</v>
      </c>
      <c r="N62" s="2"/>
      <c r="O62" s="2">
        <v>142523</v>
      </c>
      <c r="P62" s="2"/>
      <c r="Q62" s="2">
        <v>381400</v>
      </c>
      <c r="R62" s="2"/>
      <c r="S62" s="2">
        <v>19054</v>
      </c>
      <c r="T62" s="2"/>
      <c r="U62" s="2">
        <v>462740</v>
      </c>
      <c r="V62" s="2"/>
      <c r="W62" s="2">
        <v>308081</v>
      </c>
      <c r="X62" s="2"/>
      <c r="Y62" s="2">
        <v>41027</v>
      </c>
      <c r="Z62" s="2"/>
      <c r="AA62" s="2">
        <v>696963</v>
      </c>
      <c r="AB62" s="13" t="s">
        <v>292</v>
      </c>
      <c r="AD62" s="19" t="s">
        <v>260</v>
      </c>
      <c r="AF62" s="2">
        <v>7150</v>
      </c>
      <c r="AG62" s="2"/>
      <c r="AH62" s="2">
        <v>331100</v>
      </c>
      <c r="AI62" s="2"/>
      <c r="AJ62" s="2">
        <v>0</v>
      </c>
      <c r="AK62" s="2"/>
      <c r="AL62" s="2">
        <v>0</v>
      </c>
      <c r="AM62" s="2"/>
      <c r="AN62" s="2">
        <v>0</v>
      </c>
      <c r="AO62" s="2"/>
      <c r="AP62" s="2">
        <v>6602</v>
      </c>
      <c r="AQ62" s="2"/>
      <c r="AR62" s="2">
        <v>192678</v>
      </c>
      <c r="AS62" s="2"/>
      <c r="AT62" s="2"/>
      <c r="AU62" s="2"/>
      <c r="AV62" s="2">
        <v>98065</v>
      </c>
      <c r="AW62" s="2"/>
      <c r="AX62" s="2">
        <v>69778</v>
      </c>
      <c r="AY62" s="2"/>
      <c r="AZ62" s="2">
        <f t="shared" si="0"/>
        <v>5699716</v>
      </c>
      <c r="BA62" s="13" t="s">
        <v>292</v>
      </c>
      <c r="BC62" s="19" t="s">
        <v>260</v>
      </c>
      <c r="BD62" s="2"/>
      <c r="BE62" s="2"/>
      <c r="BF62" s="2">
        <v>9164</v>
      </c>
      <c r="BG62" s="2"/>
      <c r="BH62" s="2">
        <v>0</v>
      </c>
      <c r="BI62" s="2"/>
      <c r="BJ62" s="2">
        <v>0</v>
      </c>
      <c r="BK62" s="2"/>
      <c r="BL62" s="2">
        <v>0</v>
      </c>
      <c r="BM62" s="2"/>
      <c r="BN62" s="2">
        <f t="shared" si="1"/>
        <v>5708880</v>
      </c>
      <c r="BO62" s="2"/>
      <c r="BP62" s="2">
        <f>GenRev!AW61-BN62</f>
        <v>83581</v>
      </c>
      <c r="BQ62" s="2"/>
      <c r="BR62" s="2">
        <v>2256565</v>
      </c>
      <c r="BS62" s="2"/>
      <c r="BT62" s="2">
        <v>0</v>
      </c>
      <c r="BU62" s="2"/>
      <c r="BV62" s="2">
        <f t="shared" si="2"/>
        <v>0</v>
      </c>
      <c r="BW62" s="2"/>
      <c r="BX62" s="2">
        <f t="shared" si="3"/>
        <v>2340146</v>
      </c>
      <c r="BY62" s="2"/>
      <c r="BZ62" s="36">
        <f>+BX62-GenBS!AC61</f>
        <v>0</v>
      </c>
      <c r="CC62" s="2"/>
    </row>
    <row r="63" spans="1:81" s="19" customFormat="1" ht="12">
      <c r="A63" s="13" t="s">
        <v>345</v>
      </c>
      <c r="C63" s="19" t="s">
        <v>262</v>
      </c>
      <c r="E63" s="19">
        <v>51714</v>
      </c>
      <c r="G63" s="2">
        <v>1664273</v>
      </c>
      <c r="H63" s="2"/>
      <c r="I63" s="2">
        <v>0</v>
      </c>
      <c r="J63" s="2"/>
      <c r="K63" s="2">
        <v>5529324</v>
      </c>
      <c r="L63" s="2"/>
      <c r="M63" s="2">
        <v>0</v>
      </c>
      <c r="N63" s="2"/>
      <c r="O63" s="2">
        <v>412005</v>
      </c>
      <c r="P63" s="2"/>
      <c r="Q63" s="2">
        <v>1049767</v>
      </c>
      <c r="R63" s="2"/>
      <c r="S63" s="2">
        <v>57800</v>
      </c>
      <c r="T63" s="2"/>
      <c r="U63" s="2">
        <v>971051</v>
      </c>
      <c r="V63" s="2"/>
      <c r="W63" s="2">
        <v>437728</v>
      </c>
      <c r="X63" s="2"/>
      <c r="Y63" s="2">
        <v>0</v>
      </c>
      <c r="Z63" s="2"/>
      <c r="AA63" s="2">
        <v>889283</v>
      </c>
      <c r="AB63" s="2" t="s">
        <v>345</v>
      </c>
      <c r="AD63" s="19" t="s">
        <v>262</v>
      </c>
      <c r="AF63" s="2">
        <v>23275</v>
      </c>
      <c r="AG63" s="2"/>
      <c r="AH63" s="2">
        <v>0</v>
      </c>
      <c r="AI63" s="2"/>
      <c r="AJ63" s="2">
        <v>0</v>
      </c>
      <c r="AK63" s="2"/>
      <c r="AL63" s="2">
        <v>0</v>
      </c>
      <c r="AM63" s="2"/>
      <c r="AN63" s="2">
        <v>0</v>
      </c>
      <c r="AO63" s="2"/>
      <c r="AP63" s="2">
        <v>0</v>
      </c>
      <c r="AQ63" s="2"/>
      <c r="AR63" s="2">
        <v>0</v>
      </c>
      <c r="AS63" s="2"/>
      <c r="AT63" s="2"/>
      <c r="AU63" s="2"/>
      <c r="AV63" s="2">
        <v>0</v>
      </c>
      <c r="AW63" s="2"/>
      <c r="AX63" s="2">
        <v>0</v>
      </c>
      <c r="AY63" s="2"/>
      <c r="AZ63" s="2">
        <f t="shared" si="0"/>
        <v>11034506</v>
      </c>
      <c r="BA63" s="2" t="s">
        <v>345</v>
      </c>
      <c r="BC63" s="19" t="s">
        <v>262</v>
      </c>
      <c r="BD63" s="2"/>
      <c r="BE63" s="2"/>
      <c r="BF63" s="2">
        <v>2962</v>
      </c>
      <c r="BG63" s="2"/>
      <c r="BH63" s="2">
        <v>0</v>
      </c>
      <c r="BI63" s="2"/>
      <c r="BJ63" s="2">
        <v>0</v>
      </c>
      <c r="BK63" s="2"/>
      <c r="BL63" s="2">
        <v>0</v>
      </c>
      <c r="BM63" s="2"/>
      <c r="BN63" s="2">
        <f t="shared" si="1"/>
        <v>11037468</v>
      </c>
      <c r="BO63" s="2"/>
      <c r="BP63" s="2">
        <f>GenRev!AW62-BN63</f>
        <v>295453</v>
      </c>
      <c r="BQ63" s="2"/>
      <c r="BR63" s="2">
        <v>3624717</v>
      </c>
      <c r="BS63" s="2"/>
      <c r="BT63" s="2">
        <v>0</v>
      </c>
      <c r="BU63" s="2"/>
      <c r="BV63" s="2">
        <f t="shared" si="2"/>
        <v>0</v>
      </c>
      <c r="BW63" s="2"/>
      <c r="BX63" s="2">
        <f t="shared" si="3"/>
        <v>3920170</v>
      </c>
      <c r="BY63" s="2"/>
      <c r="BZ63" s="36">
        <f>+BX63-GenBS!AC62</f>
        <v>0</v>
      </c>
      <c r="CC63" s="2"/>
    </row>
    <row r="64" spans="1:81" s="19" customFormat="1" ht="12">
      <c r="A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36"/>
      <c r="CC64" s="2"/>
    </row>
    <row r="65" spans="1:84" s="19" customFormat="1" ht="12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AA65" s="57" t="s">
        <v>348</v>
      </c>
      <c r="AL65" s="57"/>
      <c r="AZ65" s="57" t="s">
        <v>348</v>
      </c>
      <c r="BN65" s="2"/>
      <c r="BV65" s="2"/>
      <c r="BX65" s="57" t="s">
        <v>348</v>
      </c>
      <c r="CC65" s="2"/>
    </row>
    <row r="66" spans="1:84" s="19" customFormat="1" ht="12">
      <c r="A66" s="56" t="s">
        <v>347</v>
      </c>
      <c r="AB66" s="56" t="s">
        <v>347</v>
      </c>
      <c r="BA66" s="56" t="s">
        <v>347</v>
      </c>
      <c r="BN66" s="2"/>
      <c r="BV66" s="2"/>
      <c r="CC66" s="2"/>
    </row>
    <row r="67" spans="1:84" s="81" customFormat="1" ht="12" hidden="1">
      <c r="A67" s="13" t="s">
        <v>415</v>
      </c>
      <c r="B67" s="13"/>
      <c r="C67" s="13" t="s">
        <v>365</v>
      </c>
      <c r="E67" s="89">
        <v>45849</v>
      </c>
      <c r="G67" s="81">
        <v>275510</v>
      </c>
      <c r="I67" s="81">
        <v>4079596</v>
      </c>
      <c r="K67" s="81">
        <v>0</v>
      </c>
      <c r="M67" s="81">
        <v>0</v>
      </c>
      <c r="O67" s="81">
        <v>1583291</v>
      </c>
      <c r="Q67" s="81">
        <v>339639</v>
      </c>
      <c r="S67" s="81">
        <v>13859</v>
      </c>
      <c r="U67" s="81">
        <v>316354</v>
      </c>
      <c r="W67" s="81">
        <v>151610</v>
      </c>
      <c r="Y67" s="81">
        <v>906</v>
      </c>
      <c r="AA67" s="81">
        <v>375</v>
      </c>
      <c r="AB67" s="81" t="s">
        <v>160</v>
      </c>
      <c r="AD67" s="81" t="s">
        <v>156</v>
      </c>
      <c r="AF67" s="81">
        <v>11197</v>
      </c>
      <c r="AH67" s="81">
        <v>0</v>
      </c>
      <c r="AJ67" s="81">
        <v>0</v>
      </c>
      <c r="AL67" s="81">
        <v>0</v>
      </c>
      <c r="AN67" s="81">
        <v>3854</v>
      </c>
      <c r="AP67" s="81">
        <v>0</v>
      </c>
      <c r="AR67" s="81">
        <v>0</v>
      </c>
      <c r="AT67" s="81">
        <v>0</v>
      </c>
      <c r="AV67" s="81">
        <v>0</v>
      </c>
      <c r="AX67" s="81">
        <v>0</v>
      </c>
      <c r="AZ67" s="81">
        <f>SUM(G67:AY67)</f>
        <v>6776191</v>
      </c>
      <c r="BA67" s="81" t="s">
        <v>160</v>
      </c>
      <c r="BC67" s="81" t="s">
        <v>156</v>
      </c>
      <c r="BH67" s="81">
        <v>0</v>
      </c>
      <c r="BJ67" s="81">
        <v>0</v>
      </c>
      <c r="BL67" s="81">
        <v>-7890</v>
      </c>
      <c r="BN67" s="81">
        <f>+BL67+BH67+BF67+AZ67</f>
        <v>6768301</v>
      </c>
      <c r="BP67" s="81">
        <f>GenRev!AW67-BN67</f>
        <v>-54876</v>
      </c>
      <c r="BR67" s="81">
        <v>545390</v>
      </c>
      <c r="BT67" s="81">
        <v>0</v>
      </c>
      <c r="BV67" s="81">
        <f>-BT67</f>
        <v>0</v>
      </c>
      <c r="BX67" s="81">
        <f>+BR67+BP67-BT67</f>
        <v>490514</v>
      </c>
      <c r="BZ67" s="82">
        <f>+BX67-GenBS!AC66</f>
        <v>0</v>
      </c>
      <c r="CB67" s="60" t="s">
        <v>400</v>
      </c>
    </row>
    <row r="68" spans="1:84" s="81" customFormat="1" ht="12" hidden="1">
      <c r="A68" s="13" t="s">
        <v>416</v>
      </c>
      <c r="B68" s="13"/>
      <c r="C68" s="13" t="s">
        <v>156</v>
      </c>
      <c r="E68" s="89"/>
      <c r="G68" s="13">
        <v>396133</v>
      </c>
      <c r="H68" s="13"/>
      <c r="I68" s="13">
        <v>1790475</v>
      </c>
      <c r="J68" s="13"/>
      <c r="K68" s="13">
        <v>0</v>
      </c>
      <c r="L68" s="13"/>
      <c r="M68" s="13">
        <v>0</v>
      </c>
      <c r="N68" s="13"/>
      <c r="O68" s="13">
        <v>1048937</v>
      </c>
      <c r="P68" s="13"/>
      <c r="Q68" s="13">
        <v>1697663</v>
      </c>
      <c r="R68" s="13"/>
      <c r="S68" s="13">
        <v>41285</v>
      </c>
      <c r="T68" s="13"/>
      <c r="U68" s="13">
        <v>574248</v>
      </c>
      <c r="V68" s="13"/>
      <c r="W68" s="13">
        <v>256446</v>
      </c>
      <c r="X68" s="13"/>
      <c r="Y68" s="13">
        <v>0</v>
      </c>
      <c r="Z68" s="13"/>
      <c r="AA68" s="13">
        <v>43051</v>
      </c>
      <c r="AB68" s="13" t="s">
        <v>367</v>
      </c>
      <c r="AC68" s="13"/>
      <c r="AD68" s="13" t="s">
        <v>156</v>
      </c>
      <c r="AE68" s="13"/>
      <c r="AF68" s="13">
        <v>8318</v>
      </c>
      <c r="AG68" s="13"/>
      <c r="AH68" s="13">
        <v>16730</v>
      </c>
      <c r="AI68" s="13"/>
      <c r="AJ68" s="13">
        <v>0</v>
      </c>
      <c r="AL68" s="13">
        <v>0</v>
      </c>
      <c r="AM68" s="13"/>
      <c r="AN68" s="13">
        <v>0</v>
      </c>
      <c r="AO68" s="13"/>
      <c r="AP68" s="13">
        <v>0</v>
      </c>
      <c r="AQ68" s="13"/>
      <c r="AR68" s="13">
        <v>0</v>
      </c>
      <c r="AS68" s="13"/>
      <c r="AT68" s="13">
        <v>0</v>
      </c>
      <c r="AU68" s="13"/>
      <c r="AV68" s="13">
        <v>0</v>
      </c>
      <c r="AW68" s="13"/>
      <c r="AX68" s="13">
        <v>0</v>
      </c>
      <c r="AY68" s="13"/>
      <c r="AZ68" s="13">
        <f>SUM(B68:AY68)</f>
        <v>5873286</v>
      </c>
      <c r="BA68" s="13" t="s">
        <v>367</v>
      </c>
      <c r="BB68" s="13"/>
      <c r="BC68" s="13" t="s">
        <v>156</v>
      </c>
      <c r="BD68" s="13"/>
      <c r="BE68" s="13"/>
      <c r="BF68" s="13"/>
      <c r="BG68" s="13"/>
      <c r="BH68" s="13">
        <v>17571</v>
      </c>
      <c r="BI68" s="13"/>
      <c r="BJ68" s="13">
        <v>0</v>
      </c>
      <c r="BK68" s="13"/>
      <c r="BL68" s="13">
        <v>0</v>
      </c>
      <c r="BM68" s="13"/>
      <c r="BN68" s="81">
        <f>+BL68+BH68+BF68+AZ68</f>
        <v>5890857</v>
      </c>
      <c r="BO68" s="13"/>
      <c r="BP68" s="13">
        <f>GenRev!AW68-BN68</f>
        <v>-390470</v>
      </c>
      <c r="BQ68" s="13"/>
      <c r="BR68" s="13">
        <v>3135201</v>
      </c>
      <c r="BS68" s="13"/>
      <c r="BT68" s="13">
        <v>0</v>
      </c>
      <c r="BU68" s="13"/>
      <c r="BV68" s="13">
        <f>-BT68</f>
        <v>0</v>
      </c>
      <c r="BW68" s="13"/>
      <c r="BX68" s="13">
        <f>+BR68+BP68-BT68</f>
        <v>2744731</v>
      </c>
      <c r="BY68" s="13"/>
      <c r="BZ68" s="64">
        <f>+BX68-GenBS!AC67</f>
        <v>0</v>
      </c>
      <c r="CA68" s="60"/>
      <c r="CB68" s="60" t="s">
        <v>400</v>
      </c>
      <c r="CC68" s="13"/>
    </row>
    <row r="69" spans="1:84" s="60" customFormat="1" ht="12">
      <c r="A69" s="60" t="s">
        <v>161</v>
      </c>
      <c r="C69" s="60" t="s">
        <v>157</v>
      </c>
      <c r="E69" s="60">
        <v>135145</v>
      </c>
      <c r="G69" s="81">
        <v>91545</v>
      </c>
      <c r="H69" s="81"/>
      <c r="I69" s="81">
        <v>2003093</v>
      </c>
      <c r="J69" s="81"/>
      <c r="K69" s="81">
        <v>0</v>
      </c>
      <c r="L69" s="81"/>
      <c r="M69" s="81">
        <v>32115</v>
      </c>
      <c r="N69" s="81"/>
      <c r="O69" s="81">
        <v>836723</v>
      </c>
      <c r="P69" s="81"/>
      <c r="Q69" s="81">
        <v>424340</v>
      </c>
      <c r="R69" s="81"/>
      <c r="S69" s="81">
        <v>91028</v>
      </c>
      <c r="T69" s="81"/>
      <c r="U69" s="81">
        <v>441183</v>
      </c>
      <c r="V69" s="81"/>
      <c r="W69" s="81">
        <v>285619</v>
      </c>
      <c r="X69" s="81"/>
      <c r="Y69" s="81">
        <v>0</v>
      </c>
      <c r="Z69" s="81"/>
      <c r="AA69" s="81">
        <v>21011</v>
      </c>
      <c r="AB69" s="81" t="s">
        <v>161</v>
      </c>
      <c r="AC69" s="81"/>
      <c r="AD69" s="81" t="s">
        <v>157</v>
      </c>
      <c r="AE69" s="81"/>
      <c r="AF69" s="81">
        <v>0</v>
      </c>
      <c r="AG69" s="81"/>
      <c r="AH69" s="81">
        <v>7605</v>
      </c>
      <c r="AI69" s="81"/>
      <c r="AJ69" s="81">
        <v>0</v>
      </c>
      <c r="AK69" s="81"/>
      <c r="AL69" s="81">
        <v>0</v>
      </c>
      <c r="AM69" s="81"/>
      <c r="AN69" s="81">
        <v>0</v>
      </c>
      <c r="AO69" s="81"/>
      <c r="AP69" s="81">
        <v>0</v>
      </c>
      <c r="AQ69" s="81"/>
      <c r="AR69" s="81">
        <v>2393</v>
      </c>
      <c r="AS69" s="81"/>
      <c r="AT69" s="81"/>
      <c r="AU69" s="81"/>
      <c r="AV69" s="81">
        <v>0</v>
      </c>
      <c r="AW69" s="81"/>
      <c r="AX69" s="81">
        <v>0</v>
      </c>
      <c r="AY69" s="81"/>
      <c r="AZ69" s="81">
        <f>SUM(G69:AY69)</f>
        <v>4236655</v>
      </c>
      <c r="BA69" s="81" t="s">
        <v>161</v>
      </c>
      <c r="BB69" s="81"/>
      <c r="BC69" s="81" t="s">
        <v>157</v>
      </c>
      <c r="BD69" s="81"/>
      <c r="BE69" s="81"/>
      <c r="BF69" s="81">
        <v>0</v>
      </c>
      <c r="BG69" s="81"/>
      <c r="BH69" s="81">
        <v>0</v>
      </c>
      <c r="BI69" s="81"/>
      <c r="BJ69" s="81">
        <v>0</v>
      </c>
      <c r="BK69" s="81"/>
      <c r="BL69" s="81">
        <v>0</v>
      </c>
      <c r="BM69" s="81"/>
      <c r="BN69" s="81">
        <f>+BL69+BH69+BF69+AZ69</f>
        <v>4236655</v>
      </c>
      <c r="BO69" s="81"/>
      <c r="BP69" s="81">
        <f>GenRev!AW69-BN69</f>
        <v>157769</v>
      </c>
      <c r="BQ69" s="81"/>
      <c r="BR69" s="81">
        <v>44972</v>
      </c>
      <c r="BS69" s="81"/>
      <c r="BT69" s="81">
        <v>0</v>
      </c>
      <c r="BU69" s="81"/>
      <c r="BV69" s="81">
        <f>-BT69</f>
        <v>0</v>
      </c>
      <c r="BW69" s="81"/>
      <c r="BX69" s="81">
        <f>+BR69+BP69-BT69</f>
        <v>202741</v>
      </c>
      <c r="BY69" s="81"/>
      <c r="BZ69" s="82">
        <f>+BX69-GenBS!AC68</f>
        <v>0</v>
      </c>
      <c r="CA69" s="81"/>
      <c r="CB69" s="13"/>
      <c r="CC69" s="81"/>
      <c r="CD69" s="81"/>
      <c r="CE69" s="81"/>
      <c r="CF69" s="81"/>
    </row>
    <row r="70" spans="1:84" s="60" customFormat="1" ht="12" hidden="1">
      <c r="A70" s="13" t="s">
        <v>417</v>
      </c>
      <c r="B70" s="13"/>
      <c r="C70" s="13" t="s">
        <v>369</v>
      </c>
      <c r="G70" s="13">
        <v>1307760</v>
      </c>
      <c r="H70" s="13"/>
      <c r="I70" s="13">
        <v>2932906</v>
      </c>
      <c r="J70" s="13"/>
      <c r="K70" s="13"/>
      <c r="L70" s="13"/>
      <c r="M70" s="13"/>
      <c r="N70" s="13"/>
      <c r="O70" s="13">
        <v>1491354</v>
      </c>
      <c r="P70" s="13"/>
      <c r="Q70" s="13">
        <v>196651</v>
      </c>
      <c r="R70" s="13"/>
      <c r="S70" s="13">
        <v>19316</v>
      </c>
      <c r="T70" s="13"/>
      <c r="U70" s="13">
        <v>447668</v>
      </c>
      <c r="V70" s="13"/>
      <c r="W70" s="13">
        <v>168389</v>
      </c>
      <c r="X70" s="13"/>
      <c r="Y70" s="13"/>
      <c r="Z70" s="13"/>
      <c r="AA70" s="13">
        <v>52918</v>
      </c>
      <c r="AB70" s="13" t="s">
        <v>368</v>
      </c>
      <c r="AC70" s="13"/>
      <c r="AD70" s="13" t="s">
        <v>369</v>
      </c>
      <c r="AE70" s="13"/>
      <c r="AF70" s="13">
        <v>45380</v>
      </c>
      <c r="AG70" s="13"/>
      <c r="AH70" s="13">
        <v>45507</v>
      </c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>
        <v>9600</v>
      </c>
      <c r="AW70" s="13"/>
      <c r="AX70" s="13"/>
      <c r="AY70" s="13"/>
      <c r="AZ70" s="13">
        <f>SUM(B70:AY70)</f>
        <v>6717449</v>
      </c>
      <c r="BA70" s="13" t="s">
        <v>368</v>
      </c>
      <c r="BB70" s="13"/>
      <c r="BC70" s="13" t="s">
        <v>369</v>
      </c>
      <c r="BD70" s="13"/>
      <c r="BE70" s="13"/>
      <c r="BF70" s="13"/>
      <c r="BG70" s="13"/>
      <c r="BH70" s="13">
        <v>0</v>
      </c>
      <c r="BI70" s="13"/>
      <c r="BJ70" s="13">
        <v>0</v>
      </c>
      <c r="BK70" s="13"/>
      <c r="BL70" s="13">
        <v>0</v>
      </c>
      <c r="BM70" s="13"/>
      <c r="BN70" s="81">
        <f>+BL70+BH70+BF70+AZ70</f>
        <v>6717449</v>
      </c>
      <c r="BO70" s="13"/>
      <c r="BP70" s="13">
        <f>GenRev!AW70-BN70</f>
        <v>36873</v>
      </c>
      <c r="BQ70" s="13"/>
      <c r="BR70" s="13">
        <v>2292132</v>
      </c>
      <c r="BS70" s="13"/>
      <c r="BT70" s="13">
        <v>0</v>
      </c>
      <c r="BU70" s="13"/>
      <c r="BV70" s="13">
        <f>-BT70</f>
        <v>0</v>
      </c>
      <c r="BW70" s="13"/>
      <c r="BX70" s="13">
        <f>+BR70+BP70-BT70</f>
        <v>2329005</v>
      </c>
      <c r="BY70" s="13"/>
      <c r="BZ70" s="64">
        <f>+BX70-GenBS!AC69</f>
        <v>0</v>
      </c>
      <c r="CB70" s="60" t="s">
        <v>400</v>
      </c>
      <c r="CC70" s="13"/>
    </row>
    <row r="71" spans="1:84" s="19" customFormat="1" ht="12">
      <c r="A71" s="19" t="s">
        <v>163</v>
      </c>
      <c r="C71" s="19" t="s">
        <v>164</v>
      </c>
      <c r="E71" s="19">
        <v>46029</v>
      </c>
      <c r="G71" s="2">
        <v>320571</v>
      </c>
      <c r="H71" s="2"/>
      <c r="I71" s="2">
        <v>1581281</v>
      </c>
      <c r="J71" s="2"/>
      <c r="K71" s="2">
        <v>0</v>
      </c>
      <c r="L71" s="2"/>
      <c r="M71" s="2">
        <v>0</v>
      </c>
      <c r="N71" s="2"/>
      <c r="O71" s="2">
        <v>1124509</v>
      </c>
      <c r="P71" s="2"/>
      <c r="Q71" s="2">
        <v>534298</v>
      </c>
      <c r="R71" s="2"/>
      <c r="S71" s="2">
        <v>27349</v>
      </c>
      <c r="T71" s="2"/>
      <c r="U71" s="2">
        <v>232848</v>
      </c>
      <c r="V71" s="2"/>
      <c r="W71" s="2">
        <v>205937</v>
      </c>
      <c r="X71" s="2"/>
      <c r="Y71" s="2">
        <v>0</v>
      </c>
      <c r="Z71" s="2"/>
      <c r="AA71" s="2">
        <v>52715</v>
      </c>
      <c r="AB71" s="19" t="s">
        <v>163</v>
      </c>
      <c r="AD71" s="19" t="s">
        <v>164</v>
      </c>
      <c r="AF71" s="2">
        <v>0</v>
      </c>
      <c r="AG71" s="2"/>
      <c r="AH71" s="2">
        <v>241248</v>
      </c>
      <c r="AI71" s="2"/>
      <c r="AJ71" s="2">
        <v>0</v>
      </c>
      <c r="AK71" s="2"/>
      <c r="AL71" s="2">
        <v>0</v>
      </c>
      <c r="AM71" s="2"/>
      <c r="AN71" s="2">
        <v>0</v>
      </c>
      <c r="AO71" s="2"/>
      <c r="AP71" s="2">
        <v>0</v>
      </c>
      <c r="AQ71" s="2"/>
      <c r="AR71" s="2">
        <v>0</v>
      </c>
      <c r="AS71" s="2"/>
      <c r="AT71" s="2"/>
      <c r="AU71" s="2"/>
      <c r="AV71" s="2">
        <v>0</v>
      </c>
      <c r="AW71" s="2"/>
      <c r="AX71" s="2">
        <v>0</v>
      </c>
      <c r="AY71" s="2"/>
      <c r="AZ71" s="2">
        <f>SUM(G71:AY71)</f>
        <v>4320756</v>
      </c>
      <c r="BA71" s="19" t="s">
        <v>163</v>
      </c>
      <c r="BC71" s="19" t="s">
        <v>164</v>
      </c>
      <c r="BD71" s="2"/>
      <c r="BE71" s="2"/>
      <c r="BF71" s="2">
        <v>0</v>
      </c>
      <c r="BG71" s="2"/>
      <c r="BH71" s="2">
        <v>0</v>
      </c>
      <c r="BI71" s="2"/>
      <c r="BJ71" s="2">
        <v>0</v>
      </c>
      <c r="BK71" s="2"/>
      <c r="BL71" s="2">
        <v>0</v>
      </c>
      <c r="BM71" s="2"/>
      <c r="BN71" s="2">
        <f t="shared" ref="BN71:BN127" si="5">+BL71+BH71+BF71+AZ71</f>
        <v>4320756</v>
      </c>
      <c r="BO71" s="2"/>
      <c r="BP71" s="2">
        <f>GenRev!AW71-BN71</f>
        <v>-14295</v>
      </c>
      <c r="BQ71" s="2"/>
      <c r="BR71" s="2">
        <v>1995549</v>
      </c>
      <c r="BS71" s="2"/>
      <c r="BT71" s="2">
        <v>0</v>
      </c>
      <c r="BU71" s="2"/>
      <c r="BV71" s="2">
        <f>-BT71</f>
        <v>0</v>
      </c>
      <c r="BW71" s="2"/>
      <c r="BX71" s="2">
        <f>+BR71+BP71-BT71</f>
        <v>1981254</v>
      </c>
      <c r="BY71" s="2"/>
      <c r="BZ71" s="36">
        <f>+BX71-GenBS!AC70</f>
        <v>0</v>
      </c>
      <c r="CC71" s="2"/>
    </row>
    <row r="72" spans="1:84" s="19" customFormat="1" ht="12">
      <c r="A72" s="19" t="s">
        <v>165</v>
      </c>
      <c r="C72" s="19" t="s">
        <v>159</v>
      </c>
      <c r="E72" s="19">
        <v>46086</v>
      </c>
      <c r="G72" s="2">
        <v>530589</v>
      </c>
      <c r="H72" s="2"/>
      <c r="I72" s="2">
        <v>796938</v>
      </c>
      <c r="J72" s="2"/>
      <c r="K72" s="2">
        <v>0</v>
      </c>
      <c r="L72" s="2"/>
      <c r="M72" s="2">
        <v>0</v>
      </c>
      <c r="N72" s="2"/>
      <c r="O72" s="2">
        <v>652940</v>
      </c>
      <c r="P72" s="2"/>
      <c r="Q72" s="2">
        <v>1333865</v>
      </c>
      <c r="R72" s="2"/>
      <c r="S72" s="2">
        <v>11862</v>
      </c>
      <c r="T72" s="2"/>
      <c r="U72" s="2">
        <v>898888</v>
      </c>
      <c r="V72" s="2"/>
      <c r="W72" s="2">
        <v>449184</v>
      </c>
      <c r="X72" s="2"/>
      <c r="Y72" s="2">
        <v>0</v>
      </c>
      <c r="Z72" s="2"/>
      <c r="AA72" s="2">
        <v>375119</v>
      </c>
      <c r="AB72" s="19" t="s">
        <v>165</v>
      </c>
      <c r="AD72" s="19" t="s">
        <v>159</v>
      </c>
      <c r="AF72" s="2">
        <v>118707</v>
      </c>
      <c r="AG72" s="2"/>
      <c r="AH72" s="2">
        <v>1714417</v>
      </c>
      <c r="AI72" s="2"/>
      <c r="AJ72" s="2">
        <v>0</v>
      </c>
      <c r="AK72" s="2"/>
      <c r="AL72" s="2">
        <v>0</v>
      </c>
      <c r="AM72" s="2"/>
      <c r="AN72" s="2">
        <v>0</v>
      </c>
      <c r="AO72" s="2"/>
      <c r="AP72" s="2">
        <v>0</v>
      </c>
      <c r="AQ72" s="2"/>
      <c r="AR72" s="2">
        <v>0</v>
      </c>
      <c r="AS72" s="2"/>
      <c r="AT72" s="2"/>
      <c r="AU72" s="2"/>
      <c r="AV72" s="2">
        <v>0</v>
      </c>
      <c r="AW72" s="2"/>
      <c r="AX72" s="2">
        <v>0</v>
      </c>
      <c r="AY72" s="2"/>
      <c r="AZ72" s="2">
        <f t="shared" ref="AZ72:AZ127" si="6">SUM(G72:AY72)</f>
        <v>6882509</v>
      </c>
      <c r="BA72" s="19" t="s">
        <v>165</v>
      </c>
      <c r="BC72" s="19" t="s">
        <v>159</v>
      </c>
      <c r="BD72" s="2"/>
      <c r="BE72" s="2"/>
      <c r="BF72" s="2">
        <v>0</v>
      </c>
      <c r="BG72" s="2"/>
      <c r="BH72" s="2">
        <v>0</v>
      </c>
      <c r="BI72" s="2"/>
      <c r="BJ72" s="2">
        <v>0</v>
      </c>
      <c r="BK72" s="2"/>
      <c r="BL72" s="2">
        <v>0</v>
      </c>
      <c r="BM72" s="2"/>
      <c r="BN72" s="2">
        <f t="shared" si="5"/>
        <v>6882509</v>
      </c>
      <c r="BO72" s="2"/>
      <c r="BP72" s="2">
        <f>GenRev!AW72-BN72</f>
        <v>199476</v>
      </c>
      <c r="BQ72" s="2"/>
      <c r="BR72" s="2">
        <v>568826</v>
      </c>
      <c r="BS72" s="2"/>
      <c r="BT72" s="2">
        <v>0</v>
      </c>
      <c r="BU72" s="2"/>
      <c r="BV72" s="2">
        <f t="shared" ref="BV72:BV127" si="7">-BT72</f>
        <v>0</v>
      </c>
      <c r="BW72" s="2"/>
      <c r="BX72" s="2">
        <f t="shared" ref="BX72:BX127" si="8">+BR72+BP72-BT72</f>
        <v>768302</v>
      </c>
      <c r="BY72" s="2"/>
      <c r="BZ72" s="36">
        <f>+BX72-GenBS!AC71</f>
        <v>0</v>
      </c>
      <c r="CC72" s="2"/>
    </row>
    <row r="73" spans="1:84" s="19" customFormat="1" ht="12">
      <c r="A73" s="19" t="s">
        <v>168</v>
      </c>
      <c r="C73" s="19" t="s">
        <v>169</v>
      </c>
      <c r="E73" s="19">
        <v>46227</v>
      </c>
      <c r="G73" s="2">
        <v>69228</v>
      </c>
      <c r="H73" s="2"/>
      <c r="I73" s="2">
        <v>1289638</v>
      </c>
      <c r="J73" s="2"/>
      <c r="K73" s="2">
        <v>0</v>
      </c>
      <c r="L73" s="2"/>
      <c r="M73" s="2">
        <v>0</v>
      </c>
      <c r="N73" s="2"/>
      <c r="O73" s="2">
        <v>1210198</v>
      </c>
      <c r="P73" s="2"/>
      <c r="Q73" s="2">
        <v>2132520</v>
      </c>
      <c r="R73" s="2"/>
      <c r="S73" s="2">
        <v>31315</v>
      </c>
      <c r="T73" s="2"/>
      <c r="U73" s="2">
        <v>740054</v>
      </c>
      <c r="V73" s="2"/>
      <c r="W73" s="2">
        <v>181671</v>
      </c>
      <c r="X73" s="2"/>
      <c r="Y73" s="2">
        <v>14094</v>
      </c>
      <c r="Z73" s="2"/>
      <c r="AA73" s="2">
        <v>53643</v>
      </c>
      <c r="AB73" s="19" t="s">
        <v>168</v>
      </c>
      <c r="AD73" s="19" t="s">
        <v>169</v>
      </c>
      <c r="AF73" s="2">
        <v>0</v>
      </c>
      <c r="AG73" s="2"/>
      <c r="AH73" s="2">
        <v>0</v>
      </c>
      <c r="AI73" s="2"/>
      <c r="AJ73" s="2">
        <v>0</v>
      </c>
      <c r="AK73" s="2"/>
      <c r="AL73" s="2">
        <v>0</v>
      </c>
      <c r="AM73" s="2"/>
      <c r="AN73" s="2">
        <v>0</v>
      </c>
      <c r="AO73" s="2"/>
      <c r="AP73" s="2">
        <v>0</v>
      </c>
      <c r="AQ73" s="2"/>
      <c r="AR73" s="2">
        <v>0</v>
      </c>
      <c r="AS73" s="2"/>
      <c r="AT73" s="2"/>
      <c r="AU73" s="2"/>
      <c r="AV73" s="2">
        <v>72467</v>
      </c>
      <c r="AW73" s="2"/>
      <c r="AX73" s="2">
        <v>184</v>
      </c>
      <c r="AY73" s="2"/>
      <c r="AZ73" s="2">
        <f t="shared" si="6"/>
        <v>5795012</v>
      </c>
      <c r="BA73" s="19" t="s">
        <v>168</v>
      </c>
      <c r="BC73" s="19" t="s">
        <v>169</v>
      </c>
      <c r="BD73" s="2"/>
      <c r="BE73" s="2"/>
      <c r="BF73" s="2">
        <v>0</v>
      </c>
      <c r="BG73" s="2"/>
      <c r="BH73" s="2">
        <v>0</v>
      </c>
      <c r="BI73" s="2"/>
      <c r="BJ73" s="2">
        <v>0</v>
      </c>
      <c r="BK73" s="2"/>
      <c r="BL73" s="2">
        <v>0</v>
      </c>
      <c r="BM73" s="2"/>
      <c r="BN73" s="2">
        <f t="shared" si="5"/>
        <v>5795012</v>
      </c>
      <c r="BO73" s="2"/>
      <c r="BP73" s="2">
        <f>GenRev!AW73-BN73</f>
        <v>-5494</v>
      </c>
      <c r="BQ73" s="2"/>
      <c r="BR73" s="2">
        <v>1112609</v>
      </c>
      <c r="BS73" s="2"/>
      <c r="BT73" s="2">
        <v>0</v>
      </c>
      <c r="BU73" s="2"/>
      <c r="BV73" s="2">
        <f t="shared" si="7"/>
        <v>0</v>
      </c>
      <c r="BW73" s="2"/>
      <c r="BX73" s="2">
        <f t="shared" si="8"/>
        <v>1107115</v>
      </c>
      <c r="BY73" s="2"/>
      <c r="BZ73" s="36">
        <f>+BX73-GenBS!AC72</f>
        <v>0</v>
      </c>
      <c r="CC73" s="2"/>
    </row>
    <row r="74" spans="1:84" s="19" customFormat="1" ht="12">
      <c r="A74" s="19" t="s">
        <v>170</v>
      </c>
      <c r="C74" s="19" t="s">
        <v>171</v>
      </c>
      <c r="E74" s="19">
        <v>46292</v>
      </c>
      <c r="F74" s="2"/>
      <c r="G74" s="2">
        <v>245458</v>
      </c>
      <c r="H74" s="2"/>
      <c r="I74" s="2">
        <v>6432440</v>
      </c>
      <c r="J74" s="2"/>
      <c r="K74" s="2">
        <v>18639</v>
      </c>
      <c r="L74" s="2"/>
      <c r="M74" s="2">
        <v>0</v>
      </c>
      <c r="N74" s="2"/>
      <c r="O74" s="2">
        <v>4395459</v>
      </c>
      <c r="P74" s="2"/>
      <c r="Q74" s="2">
        <v>5891532</v>
      </c>
      <c r="R74" s="2"/>
      <c r="S74" s="2">
        <v>70957</v>
      </c>
      <c r="T74" s="2"/>
      <c r="U74" s="2">
        <v>483085</v>
      </c>
      <c r="V74" s="2"/>
      <c r="W74" s="2">
        <v>271655</v>
      </c>
      <c r="X74" s="2"/>
      <c r="Y74" s="2">
        <v>0</v>
      </c>
      <c r="Z74" s="2"/>
      <c r="AA74" s="2">
        <v>0</v>
      </c>
      <c r="AB74" s="19" t="s">
        <v>170</v>
      </c>
      <c r="AD74" s="19" t="s">
        <v>171</v>
      </c>
      <c r="AF74" s="2">
        <v>0</v>
      </c>
      <c r="AG74" s="2"/>
      <c r="AH74" s="2">
        <v>27366</v>
      </c>
      <c r="AI74" s="2"/>
      <c r="AJ74" s="2">
        <v>0</v>
      </c>
      <c r="AK74" s="2"/>
      <c r="AL74" s="2">
        <v>0</v>
      </c>
      <c r="AM74" s="2"/>
      <c r="AN74" s="2">
        <v>0</v>
      </c>
      <c r="AO74" s="2"/>
      <c r="AP74" s="2">
        <v>0</v>
      </c>
      <c r="AQ74" s="2"/>
      <c r="AR74" s="2">
        <v>51598</v>
      </c>
      <c r="AS74" s="2"/>
      <c r="AT74" s="2"/>
      <c r="AU74" s="2"/>
      <c r="AV74" s="2">
        <v>0</v>
      </c>
      <c r="AW74" s="2"/>
      <c r="AX74" s="2">
        <v>0</v>
      </c>
      <c r="AY74" s="2"/>
      <c r="AZ74" s="2">
        <f t="shared" si="6"/>
        <v>17888189</v>
      </c>
      <c r="BA74" s="19" t="s">
        <v>170</v>
      </c>
      <c r="BC74" s="19" t="s">
        <v>171</v>
      </c>
      <c r="BD74" s="2"/>
      <c r="BE74" s="2"/>
      <c r="BF74" s="2">
        <v>15000</v>
      </c>
      <c r="BG74" s="2"/>
      <c r="BH74" s="2">
        <v>0</v>
      </c>
      <c r="BI74" s="2"/>
      <c r="BJ74" s="2">
        <v>0</v>
      </c>
      <c r="BK74" s="2"/>
      <c r="BL74" s="2">
        <v>0</v>
      </c>
      <c r="BM74" s="2"/>
      <c r="BN74" s="2">
        <f t="shared" si="5"/>
        <v>17903189</v>
      </c>
      <c r="BO74" s="2"/>
      <c r="BP74" s="2">
        <f>GenRev!AW74-BN74</f>
        <v>-328575</v>
      </c>
      <c r="BQ74" s="2"/>
      <c r="BR74" s="2">
        <v>4277406</v>
      </c>
      <c r="BS74" s="2"/>
      <c r="BT74" s="2">
        <v>0</v>
      </c>
      <c r="BU74" s="2"/>
      <c r="BV74" s="2">
        <f t="shared" si="7"/>
        <v>0</v>
      </c>
      <c r="BW74" s="2"/>
      <c r="BX74" s="2">
        <f t="shared" si="8"/>
        <v>3948831</v>
      </c>
      <c r="BY74" s="2"/>
      <c r="BZ74" s="36">
        <f>+BX74-GenBS!AC73</f>
        <v>0</v>
      </c>
      <c r="CC74" s="2"/>
    </row>
    <row r="75" spans="1:84" s="60" customFormat="1" ht="12" hidden="1">
      <c r="A75" s="80" t="s">
        <v>405</v>
      </c>
      <c r="C75" s="60" t="s">
        <v>173</v>
      </c>
      <c r="E75" s="60">
        <v>46375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60" t="s">
        <v>172</v>
      </c>
      <c r="AD75" s="60" t="s">
        <v>173</v>
      </c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>
        <f t="shared" si="6"/>
        <v>0</v>
      </c>
      <c r="BA75" s="60" t="s">
        <v>172</v>
      </c>
      <c r="BC75" s="60" t="s">
        <v>173</v>
      </c>
      <c r="BD75" s="13"/>
      <c r="BE75" s="13"/>
      <c r="BF75" s="13"/>
      <c r="BG75" s="13"/>
      <c r="BH75" s="13">
        <v>0</v>
      </c>
      <c r="BI75" s="13"/>
      <c r="BJ75" s="13">
        <v>0</v>
      </c>
      <c r="BK75" s="13"/>
      <c r="BL75" s="13">
        <v>0</v>
      </c>
      <c r="BM75" s="13"/>
      <c r="BN75" s="13">
        <f t="shared" si="5"/>
        <v>0</v>
      </c>
      <c r="BO75" s="13"/>
      <c r="BP75" s="13">
        <f>GenRev!AW75-BN75</f>
        <v>0</v>
      </c>
      <c r="BQ75" s="13"/>
      <c r="BR75" s="13"/>
      <c r="BS75" s="13"/>
      <c r="BT75" s="13">
        <v>0</v>
      </c>
      <c r="BU75" s="13"/>
      <c r="BV75" s="13">
        <f t="shared" si="7"/>
        <v>0</v>
      </c>
      <c r="BW75" s="13"/>
      <c r="BX75" s="13">
        <f t="shared" si="8"/>
        <v>0</v>
      </c>
      <c r="BY75" s="13"/>
      <c r="BZ75" s="64">
        <f>+BX75-GenBS!AC74</f>
        <v>0</v>
      </c>
      <c r="CB75" s="80" t="s">
        <v>406</v>
      </c>
      <c r="CC75" s="13"/>
    </row>
    <row r="76" spans="1:84" s="19" customFormat="1" ht="12">
      <c r="A76" s="19" t="s">
        <v>174</v>
      </c>
      <c r="C76" s="19" t="s">
        <v>175</v>
      </c>
      <c r="E76" s="19">
        <v>46417</v>
      </c>
      <c r="G76" s="2">
        <v>443361</v>
      </c>
      <c r="H76" s="2"/>
      <c r="I76" s="2">
        <v>1280565</v>
      </c>
      <c r="J76" s="2"/>
      <c r="K76" s="2">
        <v>0</v>
      </c>
      <c r="L76" s="2"/>
      <c r="M76" s="2">
        <v>0</v>
      </c>
      <c r="N76" s="2"/>
      <c r="O76" s="2">
        <v>2137667</v>
      </c>
      <c r="P76" s="2"/>
      <c r="Q76" s="2">
        <v>2602268</v>
      </c>
      <c r="R76" s="2"/>
      <c r="S76" s="2">
        <v>29458</v>
      </c>
      <c r="T76" s="2"/>
      <c r="U76" s="2">
        <v>369848</v>
      </c>
      <c r="V76" s="2"/>
      <c r="W76" s="2">
        <v>185426</v>
      </c>
      <c r="X76" s="2"/>
      <c r="Y76" s="2">
        <v>0</v>
      </c>
      <c r="Z76" s="2"/>
      <c r="AA76" s="2">
        <v>157792</v>
      </c>
      <c r="AB76" s="19" t="s">
        <v>174</v>
      </c>
      <c r="AD76" s="19" t="s">
        <v>175</v>
      </c>
      <c r="AF76" s="2">
        <v>529064</v>
      </c>
      <c r="AG76" s="2"/>
      <c r="AH76" s="2">
        <v>281865</v>
      </c>
      <c r="AI76" s="2"/>
      <c r="AJ76" s="2">
        <v>3064</v>
      </c>
      <c r="AL76" s="2">
        <v>0</v>
      </c>
      <c r="AM76" s="2"/>
      <c r="AN76" s="2">
        <v>20246</v>
      </c>
      <c r="AO76" s="2"/>
      <c r="AP76" s="2">
        <v>0</v>
      </c>
      <c r="AQ76" s="2"/>
      <c r="AR76" s="2">
        <v>0</v>
      </c>
      <c r="AS76" s="2"/>
      <c r="AT76" s="2"/>
      <c r="AU76" s="2"/>
      <c r="AV76" s="2">
        <v>443656</v>
      </c>
      <c r="AW76" s="2"/>
      <c r="AX76" s="2">
        <v>18852</v>
      </c>
      <c r="AY76" s="2"/>
      <c r="AZ76" s="2">
        <f t="shared" si="6"/>
        <v>8503132</v>
      </c>
      <c r="BA76" s="19" t="s">
        <v>174</v>
      </c>
      <c r="BC76" s="19" t="s">
        <v>175</v>
      </c>
      <c r="BD76" s="2"/>
      <c r="BE76" s="2"/>
      <c r="BF76" s="2">
        <v>11957</v>
      </c>
      <c r="BG76" s="2"/>
      <c r="BH76" s="2">
        <v>0</v>
      </c>
      <c r="BI76" s="2"/>
      <c r="BJ76" s="2"/>
      <c r="BK76" s="2"/>
      <c r="BL76" s="2">
        <v>0</v>
      </c>
      <c r="BM76" s="2"/>
      <c r="BN76" s="2">
        <f t="shared" si="5"/>
        <v>8515089</v>
      </c>
      <c r="BO76" s="2"/>
      <c r="BP76" s="2">
        <f>GenRev!AW76-BN76</f>
        <v>375728</v>
      </c>
      <c r="BQ76" s="2"/>
      <c r="BR76" s="2">
        <v>96335</v>
      </c>
      <c r="BS76" s="2"/>
      <c r="BT76" s="2">
        <v>0</v>
      </c>
      <c r="BU76" s="2"/>
      <c r="BV76" s="2">
        <f>-BT76</f>
        <v>0</v>
      </c>
      <c r="BW76" s="2"/>
      <c r="BX76" s="2">
        <f>+BR76+BP76-BT76</f>
        <v>472063</v>
      </c>
      <c r="BY76" s="2"/>
      <c r="BZ76" s="36">
        <f>+BX76-GenBS!AC75</f>
        <v>0</v>
      </c>
      <c r="CC76" s="2"/>
    </row>
    <row r="77" spans="1:84" s="19" customFormat="1" ht="12">
      <c r="A77" s="19" t="s">
        <v>176</v>
      </c>
      <c r="C77" s="19" t="s">
        <v>177</v>
      </c>
      <c r="E77" s="19">
        <v>46532</v>
      </c>
      <c r="G77" s="2">
        <v>469247</v>
      </c>
      <c r="H77" s="2"/>
      <c r="I77" s="2">
        <v>24625747</v>
      </c>
      <c r="J77" s="2"/>
      <c r="K77" s="2">
        <v>303981</v>
      </c>
      <c r="L77" s="2"/>
      <c r="M77" s="2">
        <v>0</v>
      </c>
      <c r="N77" s="2"/>
      <c r="O77" s="2">
        <v>4429196</v>
      </c>
      <c r="P77" s="2"/>
      <c r="Q77" s="2">
        <v>12551751</v>
      </c>
      <c r="R77" s="2"/>
      <c r="S77" s="2">
        <v>69355</v>
      </c>
      <c r="T77" s="2"/>
      <c r="U77" s="2">
        <v>9087042</v>
      </c>
      <c r="V77" s="2"/>
      <c r="W77" s="2">
        <v>788259</v>
      </c>
      <c r="X77" s="2"/>
      <c r="Y77" s="2">
        <v>40386</v>
      </c>
      <c r="Z77" s="2"/>
      <c r="AA77" s="2">
        <v>1339115</v>
      </c>
      <c r="AB77" s="19" t="s">
        <v>176</v>
      </c>
      <c r="AD77" s="19" t="s">
        <v>177</v>
      </c>
      <c r="AF77" s="2">
        <v>3074</v>
      </c>
      <c r="AG77" s="2"/>
      <c r="AH77" s="2">
        <v>87246</v>
      </c>
      <c r="AI77" s="2"/>
      <c r="AJ77" s="2">
        <v>0</v>
      </c>
      <c r="AK77" s="2"/>
      <c r="AL77" s="2">
        <v>0</v>
      </c>
      <c r="AM77" s="2"/>
      <c r="AN77" s="2">
        <v>0</v>
      </c>
      <c r="AO77" s="2"/>
      <c r="AP77" s="2">
        <v>52582</v>
      </c>
      <c r="AQ77" s="2"/>
      <c r="AR77" s="2">
        <v>0</v>
      </c>
      <c r="AS77" s="2"/>
      <c r="AT77" s="2"/>
      <c r="AU77" s="2"/>
      <c r="AV77" s="2">
        <v>68000</v>
      </c>
      <c r="AW77" s="2"/>
      <c r="AX77" s="2">
        <v>84700</v>
      </c>
      <c r="AY77" s="2"/>
      <c r="AZ77" s="2">
        <f t="shared" si="6"/>
        <v>53999681</v>
      </c>
      <c r="BA77" s="19" t="s">
        <v>176</v>
      </c>
      <c r="BC77" s="19" t="s">
        <v>177</v>
      </c>
      <c r="BD77" s="2"/>
      <c r="BE77" s="2"/>
      <c r="BF77" s="2">
        <v>0</v>
      </c>
      <c r="BG77" s="2"/>
      <c r="BH77" s="2">
        <v>0</v>
      </c>
      <c r="BI77" s="2"/>
      <c r="BJ77" s="2">
        <v>0</v>
      </c>
      <c r="BK77" s="2"/>
      <c r="BL77" s="2">
        <v>0</v>
      </c>
      <c r="BM77" s="2"/>
      <c r="BN77" s="2">
        <f t="shared" si="5"/>
        <v>53999681</v>
      </c>
      <c r="BO77" s="2"/>
      <c r="BP77" s="2">
        <f>GenRev!AW77-BN77</f>
        <v>-2407621</v>
      </c>
      <c r="BQ77" s="2"/>
      <c r="BR77" s="2">
        <v>24314446</v>
      </c>
      <c r="BS77" s="2"/>
      <c r="BT77" s="2">
        <v>0</v>
      </c>
      <c r="BU77" s="2"/>
      <c r="BV77" s="2">
        <f t="shared" si="7"/>
        <v>0</v>
      </c>
      <c r="BW77" s="2"/>
      <c r="BX77" s="2">
        <f t="shared" si="8"/>
        <v>21906825</v>
      </c>
      <c r="BY77" s="2"/>
      <c r="BZ77" s="36">
        <f>+BX77-GenBS!AC76</f>
        <v>0</v>
      </c>
      <c r="CC77" s="2"/>
    </row>
    <row r="78" spans="1:84" s="19" customFormat="1" ht="12" hidden="1">
      <c r="A78" s="19" t="s">
        <v>395</v>
      </c>
      <c r="C78" s="19" t="s">
        <v>179</v>
      </c>
      <c r="E78" s="19">
        <v>46615</v>
      </c>
      <c r="G78" s="2"/>
      <c r="H78" s="2"/>
      <c r="I78" s="2">
        <v>698721</v>
      </c>
      <c r="J78" s="2"/>
      <c r="K78" s="2"/>
      <c r="L78" s="2"/>
      <c r="M78" s="2"/>
      <c r="N78" s="2"/>
      <c r="O78" s="2">
        <v>332465</v>
      </c>
      <c r="P78" s="2"/>
      <c r="Q78" s="2">
        <v>662154</v>
      </c>
      <c r="R78" s="2"/>
      <c r="S78" s="2">
        <v>94503</v>
      </c>
      <c r="T78" s="2"/>
      <c r="U78" s="2">
        <v>189671</v>
      </c>
      <c r="V78" s="2"/>
      <c r="W78" s="2">
        <v>95722</v>
      </c>
      <c r="X78" s="2"/>
      <c r="Y78" s="2"/>
      <c r="Z78" s="2"/>
      <c r="AA78" s="2">
        <v>28271</v>
      </c>
      <c r="AB78" s="19" t="s">
        <v>178</v>
      </c>
      <c r="AD78" s="19" t="s">
        <v>179</v>
      </c>
      <c r="AF78" s="2"/>
      <c r="AG78" s="2"/>
      <c r="AH78" s="2">
        <v>8253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>
        <f t="shared" si="6"/>
        <v>2109760</v>
      </c>
      <c r="BA78" s="19" t="s">
        <v>178</v>
      </c>
      <c r="BC78" s="19" t="s">
        <v>179</v>
      </c>
      <c r="BD78" s="2"/>
      <c r="BE78" s="2"/>
      <c r="BF78" s="2">
        <v>100000</v>
      </c>
      <c r="BG78" s="2"/>
      <c r="BH78" s="2">
        <v>0</v>
      </c>
      <c r="BI78" s="2"/>
      <c r="BJ78" s="2">
        <v>0</v>
      </c>
      <c r="BK78" s="2"/>
      <c r="BL78" s="2">
        <v>0</v>
      </c>
      <c r="BM78" s="2"/>
      <c r="BN78" s="2">
        <f t="shared" si="5"/>
        <v>2209760</v>
      </c>
      <c r="BO78" s="2"/>
      <c r="BP78" s="2">
        <f>GenRev!AW78-BN78</f>
        <v>6169</v>
      </c>
      <c r="BQ78" s="2"/>
      <c r="BR78" s="2">
        <v>490589</v>
      </c>
      <c r="BS78" s="2"/>
      <c r="BT78" s="2">
        <v>0</v>
      </c>
      <c r="BU78" s="2"/>
      <c r="BV78" s="2">
        <f t="shared" si="7"/>
        <v>0</v>
      </c>
      <c r="BW78" s="2"/>
      <c r="BX78" s="2">
        <f t="shared" si="8"/>
        <v>496758</v>
      </c>
      <c r="BY78" s="2"/>
      <c r="BZ78" s="36">
        <f>+BX78-GenBS!AC77</f>
        <v>0</v>
      </c>
      <c r="CB78" s="61" t="s">
        <v>373</v>
      </c>
      <c r="CC78" s="2"/>
    </row>
    <row r="79" spans="1:84" s="60" customFormat="1" ht="12" hidden="1">
      <c r="A79" s="80" t="s">
        <v>180</v>
      </c>
      <c r="C79" s="60" t="s">
        <v>181</v>
      </c>
      <c r="E79" s="60">
        <v>46730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60" t="s">
        <v>180</v>
      </c>
      <c r="AD79" s="60" t="s">
        <v>181</v>
      </c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>
        <f t="shared" si="6"/>
        <v>0</v>
      </c>
      <c r="BA79" s="60" t="s">
        <v>180</v>
      </c>
      <c r="BC79" s="60" t="s">
        <v>181</v>
      </c>
      <c r="BD79" s="13"/>
      <c r="BE79" s="13"/>
      <c r="BF79" s="13"/>
      <c r="BG79" s="13"/>
      <c r="BH79" s="13">
        <v>0</v>
      </c>
      <c r="BI79" s="13"/>
      <c r="BJ79" s="13">
        <v>0</v>
      </c>
      <c r="BK79" s="13"/>
      <c r="BL79" s="13">
        <v>0</v>
      </c>
      <c r="BM79" s="13"/>
      <c r="BN79" s="13">
        <f t="shared" si="5"/>
        <v>0</v>
      </c>
      <c r="BO79" s="13"/>
      <c r="BP79" s="13">
        <f>GenRev!AW79-BN79</f>
        <v>0</v>
      </c>
      <c r="BQ79" s="13"/>
      <c r="BR79" s="13"/>
      <c r="BS79" s="13"/>
      <c r="BT79" s="13">
        <v>0</v>
      </c>
      <c r="BU79" s="13"/>
      <c r="BV79" s="13">
        <f t="shared" si="7"/>
        <v>0</v>
      </c>
      <c r="BW79" s="13"/>
      <c r="BX79" s="13">
        <f t="shared" si="8"/>
        <v>0</v>
      </c>
      <c r="BY79" s="13"/>
      <c r="BZ79" s="64">
        <f>+BX79-GenBS!AC78</f>
        <v>0</v>
      </c>
      <c r="CB79" s="80" t="s">
        <v>410</v>
      </c>
      <c r="CC79" s="13"/>
    </row>
    <row r="80" spans="1:84" s="60" customFormat="1" ht="12" hidden="1">
      <c r="A80" s="80" t="s">
        <v>412</v>
      </c>
      <c r="C80" s="60" t="s">
        <v>183</v>
      </c>
      <c r="E80" s="60">
        <v>125690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60" t="s">
        <v>182</v>
      </c>
      <c r="AD80" s="60" t="s">
        <v>183</v>
      </c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>
        <f t="shared" si="6"/>
        <v>0</v>
      </c>
      <c r="BA80" s="60" t="s">
        <v>182</v>
      </c>
      <c r="BC80" s="60" t="s">
        <v>183</v>
      </c>
      <c r="BD80" s="13"/>
      <c r="BE80" s="13"/>
      <c r="BF80" s="13"/>
      <c r="BG80" s="13"/>
      <c r="BH80" s="13">
        <v>0</v>
      </c>
      <c r="BI80" s="13"/>
      <c r="BJ80" s="13">
        <v>0</v>
      </c>
      <c r="BK80" s="13"/>
      <c r="BL80" s="13">
        <v>0</v>
      </c>
      <c r="BM80" s="13"/>
      <c r="BN80" s="13">
        <f t="shared" si="5"/>
        <v>0</v>
      </c>
      <c r="BO80" s="13"/>
      <c r="BP80" s="13">
        <f>GenRev!AW80-BN80</f>
        <v>0</v>
      </c>
      <c r="BQ80" s="13"/>
      <c r="BR80" s="13"/>
      <c r="BS80" s="13"/>
      <c r="BT80" s="13">
        <v>0</v>
      </c>
      <c r="BU80" s="13"/>
      <c r="BV80" s="13">
        <f t="shared" si="7"/>
        <v>0</v>
      </c>
      <c r="BW80" s="13"/>
      <c r="BX80" s="13">
        <f t="shared" si="8"/>
        <v>0</v>
      </c>
      <c r="BY80" s="13"/>
      <c r="BZ80" s="64">
        <f>+BX80-GenBS!AC79</f>
        <v>0</v>
      </c>
      <c r="CB80" s="80" t="s">
        <v>414</v>
      </c>
      <c r="CC80" s="13"/>
    </row>
    <row r="81" spans="1:81" s="19" customFormat="1" ht="12">
      <c r="A81" s="19" t="s">
        <v>184</v>
      </c>
      <c r="C81" s="19" t="s">
        <v>185</v>
      </c>
      <c r="E81" s="19">
        <v>46839</v>
      </c>
      <c r="G81" s="2">
        <v>220762</v>
      </c>
      <c r="H81" s="2"/>
      <c r="I81" s="2">
        <v>1564472</v>
      </c>
      <c r="J81" s="2"/>
      <c r="K81" s="2">
        <v>0</v>
      </c>
      <c r="L81" s="2"/>
      <c r="M81" s="2">
        <v>0</v>
      </c>
      <c r="N81" s="2"/>
      <c r="O81" s="2">
        <v>2046437</v>
      </c>
      <c r="P81" s="2"/>
      <c r="Q81" s="2">
        <v>2367550</v>
      </c>
      <c r="R81" s="2"/>
      <c r="S81" s="2">
        <v>3094</v>
      </c>
      <c r="T81" s="2"/>
      <c r="U81" s="2">
        <v>1580963</v>
      </c>
      <c r="V81" s="2"/>
      <c r="W81" s="2">
        <v>256715</v>
      </c>
      <c r="X81" s="2"/>
      <c r="Y81" s="2">
        <v>0</v>
      </c>
      <c r="Z81" s="2"/>
      <c r="AA81" s="2">
        <v>41764</v>
      </c>
      <c r="AB81" s="19" t="s">
        <v>184</v>
      </c>
      <c r="AD81" s="19" t="s">
        <v>185</v>
      </c>
      <c r="AF81" s="2">
        <v>0</v>
      </c>
      <c r="AG81" s="2"/>
      <c r="AH81" s="2">
        <v>72508</v>
      </c>
      <c r="AI81" s="2"/>
      <c r="AJ81" s="2">
        <v>0</v>
      </c>
      <c r="AK81" s="2"/>
      <c r="AL81" s="2">
        <v>0</v>
      </c>
      <c r="AM81" s="2"/>
      <c r="AN81" s="2">
        <v>0</v>
      </c>
      <c r="AO81" s="2"/>
      <c r="AP81" s="2">
        <v>0</v>
      </c>
      <c r="AQ81" s="2"/>
      <c r="AR81" s="2">
        <v>0</v>
      </c>
      <c r="AS81" s="2"/>
      <c r="AT81" s="2"/>
      <c r="AU81" s="2"/>
      <c r="AV81" s="2">
        <v>18639</v>
      </c>
      <c r="AW81" s="2"/>
      <c r="AX81" s="2">
        <v>1943</v>
      </c>
      <c r="AY81" s="2"/>
      <c r="AZ81" s="2">
        <f t="shared" si="6"/>
        <v>8174847</v>
      </c>
      <c r="BA81" s="19" t="s">
        <v>184</v>
      </c>
      <c r="BC81" s="19" t="s">
        <v>185</v>
      </c>
      <c r="BD81" s="2"/>
      <c r="BE81" s="2"/>
      <c r="BF81" s="2">
        <v>0</v>
      </c>
      <c r="BG81" s="2"/>
      <c r="BH81" s="2">
        <v>0</v>
      </c>
      <c r="BI81" s="2"/>
      <c r="BJ81" s="2">
        <v>0</v>
      </c>
      <c r="BK81" s="2"/>
      <c r="BL81" s="2">
        <v>0</v>
      </c>
      <c r="BM81" s="2"/>
      <c r="BN81" s="2">
        <f t="shared" si="5"/>
        <v>8174847</v>
      </c>
      <c r="BO81" s="2"/>
      <c r="BP81" s="2">
        <f>GenRev!AW81-BN81</f>
        <v>-97809</v>
      </c>
      <c r="BQ81" s="2"/>
      <c r="BR81" s="2">
        <v>1177112</v>
      </c>
      <c r="BS81" s="2"/>
      <c r="BT81" s="2">
        <v>0</v>
      </c>
      <c r="BU81" s="2"/>
      <c r="BV81" s="2">
        <f t="shared" si="7"/>
        <v>0</v>
      </c>
      <c r="BW81" s="2"/>
      <c r="BX81" s="2">
        <f t="shared" si="8"/>
        <v>1079303</v>
      </c>
      <c r="BY81" s="2"/>
      <c r="BZ81" s="36">
        <f>+BX81-GenBS!AC80</f>
        <v>0</v>
      </c>
      <c r="CC81" s="2"/>
    </row>
    <row r="82" spans="1:81" s="19" customFormat="1" ht="12">
      <c r="A82" s="2" t="s">
        <v>433</v>
      </c>
      <c r="C82" s="19" t="s">
        <v>186</v>
      </c>
      <c r="E82" s="19">
        <v>46938</v>
      </c>
      <c r="G82" s="2">
        <v>312386</v>
      </c>
      <c r="H82" s="2"/>
      <c r="I82" s="2">
        <v>13044337</v>
      </c>
      <c r="J82" s="2"/>
      <c r="K82" s="2">
        <v>504736</v>
      </c>
      <c r="L82" s="2"/>
      <c r="M82" s="2">
        <v>0</v>
      </c>
      <c r="N82" s="2"/>
      <c r="O82" s="2">
        <v>2501161</v>
      </c>
      <c r="P82" s="2"/>
      <c r="Q82" s="2">
        <v>15267361</v>
      </c>
      <c r="R82" s="2"/>
      <c r="S82" s="2">
        <v>81161</v>
      </c>
      <c r="T82" s="2"/>
      <c r="U82" s="2">
        <v>6362179</v>
      </c>
      <c r="V82" s="2"/>
      <c r="W82" s="2">
        <v>1452215</v>
      </c>
      <c r="X82" s="2"/>
      <c r="Y82" s="2">
        <v>434430</v>
      </c>
      <c r="Z82" s="2"/>
      <c r="AA82" s="2">
        <v>372752</v>
      </c>
      <c r="AB82" s="2" t="s">
        <v>433</v>
      </c>
      <c r="AD82" s="19" t="s">
        <v>186</v>
      </c>
      <c r="AF82" s="2">
        <v>33469</v>
      </c>
      <c r="AG82" s="2"/>
      <c r="AH82" s="2">
        <v>1041798</v>
      </c>
      <c r="AI82" s="2"/>
      <c r="AJ82" s="2">
        <v>0</v>
      </c>
      <c r="AK82" s="2"/>
      <c r="AL82" s="2">
        <v>0</v>
      </c>
      <c r="AM82" s="2"/>
      <c r="AN82" s="2">
        <v>542</v>
      </c>
      <c r="AO82" s="2"/>
      <c r="AP82" s="2">
        <v>28533</v>
      </c>
      <c r="AQ82" s="2"/>
      <c r="AR82" s="2">
        <v>0</v>
      </c>
      <c r="AS82" s="2"/>
      <c r="AT82" s="2"/>
      <c r="AU82" s="2"/>
      <c r="AV82" s="2">
        <v>177000</v>
      </c>
      <c r="AW82" s="2"/>
      <c r="AX82" s="2">
        <v>144438</v>
      </c>
      <c r="AY82" s="2"/>
      <c r="AZ82" s="2">
        <f t="shared" si="6"/>
        <v>41758498</v>
      </c>
      <c r="BA82" s="2" t="s">
        <v>433</v>
      </c>
      <c r="BC82" s="19" t="s">
        <v>186</v>
      </c>
      <c r="BD82" s="2"/>
      <c r="BE82" s="2"/>
      <c r="BF82" s="2">
        <v>0</v>
      </c>
      <c r="BG82" s="2"/>
      <c r="BH82" s="2">
        <v>0</v>
      </c>
      <c r="BI82" s="2"/>
      <c r="BJ82" s="2">
        <v>0</v>
      </c>
      <c r="BK82" s="2"/>
      <c r="BL82" s="2">
        <v>0</v>
      </c>
      <c r="BM82" s="2"/>
      <c r="BN82" s="2">
        <f t="shared" si="5"/>
        <v>41758498</v>
      </c>
      <c r="BO82" s="2"/>
      <c r="BP82" s="2">
        <f>GenRev!AW82-BN82</f>
        <v>6484018</v>
      </c>
      <c r="BQ82" s="2"/>
      <c r="BR82" s="2">
        <v>8137284</v>
      </c>
      <c r="BS82" s="2"/>
      <c r="BT82" s="2">
        <v>0</v>
      </c>
      <c r="BU82" s="2"/>
      <c r="BV82" s="2">
        <f t="shared" si="7"/>
        <v>0</v>
      </c>
      <c r="BW82" s="2"/>
      <c r="BX82" s="2">
        <f t="shared" si="8"/>
        <v>14621302</v>
      </c>
      <c r="BY82" s="2"/>
      <c r="BZ82" s="36">
        <f>+BX82-GenBS!AC81</f>
        <v>0</v>
      </c>
      <c r="CB82" s="60" t="s">
        <v>409</v>
      </c>
      <c r="CC82" s="2"/>
    </row>
    <row r="83" spans="1:81" s="19" customFormat="1" ht="12">
      <c r="A83" s="19" t="s">
        <v>188</v>
      </c>
      <c r="C83" s="19" t="s">
        <v>189</v>
      </c>
      <c r="E83" s="19">
        <v>125682</v>
      </c>
      <c r="G83" s="2">
        <v>74007</v>
      </c>
      <c r="H83" s="2"/>
      <c r="I83" s="2">
        <v>0</v>
      </c>
      <c r="J83" s="2"/>
      <c r="K83" s="2">
        <v>0</v>
      </c>
      <c r="L83" s="2"/>
      <c r="M83" s="2">
        <v>0</v>
      </c>
      <c r="N83" s="2"/>
      <c r="O83" s="2">
        <v>230693</v>
      </c>
      <c r="P83" s="2"/>
      <c r="Q83" s="2">
        <v>568059</v>
      </c>
      <c r="R83" s="2"/>
      <c r="S83" s="2">
        <v>35633</v>
      </c>
      <c r="T83" s="2"/>
      <c r="U83" s="2">
        <v>227511</v>
      </c>
      <c r="V83" s="2"/>
      <c r="W83" s="2">
        <v>47086</v>
      </c>
      <c r="X83" s="2"/>
      <c r="Y83" s="2">
        <v>0</v>
      </c>
      <c r="Z83" s="2"/>
      <c r="AA83" s="2">
        <v>0</v>
      </c>
      <c r="AB83" s="19" t="s">
        <v>188</v>
      </c>
      <c r="AD83" s="19" t="s">
        <v>189</v>
      </c>
      <c r="AF83" s="2">
        <v>3375</v>
      </c>
      <c r="AG83" s="2"/>
      <c r="AH83" s="2">
        <v>7129</v>
      </c>
      <c r="AI83" s="2"/>
      <c r="AJ83" s="2">
        <v>0</v>
      </c>
      <c r="AK83" s="2"/>
      <c r="AL83" s="2">
        <v>0</v>
      </c>
      <c r="AM83" s="2"/>
      <c r="AN83" s="2">
        <v>0</v>
      </c>
      <c r="AO83" s="2"/>
      <c r="AP83" s="2">
        <v>0</v>
      </c>
      <c r="AQ83" s="2"/>
      <c r="AR83" s="2">
        <v>0</v>
      </c>
      <c r="AS83" s="2"/>
      <c r="AT83" s="2"/>
      <c r="AU83" s="2"/>
      <c r="AV83" s="2">
        <v>0</v>
      </c>
      <c r="AW83" s="2"/>
      <c r="AX83" s="2">
        <v>0</v>
      </c>
      <c r="AY83" s="2"/>
      <c r="AZ83" s="2">
        <f t="shared" si="6"/>
        <v>1193493</v>
      </c>
      <c r="BA83" s="19" t="s">
        <v>188</v>
      </c>
      <c r="BC83" s="19" t="s">
        <v>189</v>
      </c>
      <c r="BD83" s="2"/>
      <c r="BE83" s="2"/>
      <c r="BF83" s="2">
        <v>0</v>
      </c>
      <c r="BG83" s="2"/>
      <c r="BH83" s="2">
        <v>0</v>
      </c>
      <c r="BI83" s="2"/>
      <c r="BJ83" s="2">
        <v>0</v>
      </c>
      <c r="BK83" s="2"/>
      <c r="BL83" s="2">
        <v>0</v>
      </c>
      <c r="BM83" s="2"/>
      <c r="BN83" s="2">
        <f t="shared" si="5"/>
        <v>1193493</v>
      </c>
      <c r="BO83" s="2"/>
      <c r="BP83" s="2">
        <f>GenRev!AW83-BN83</f>
        <v>23719</v>
      </c>
      <c r="BQ83" s="2"/>
      <c r="BR83" s="2">
        <v>858741</v>
      </c>
      <c r="BS83" s="2"/>
      <c r="BT83" s="2">
        <v>0</v>
      </c>
      <c r="BU83" s="2"/>
      <c r="BV83" s="2">
        <f t="shared" si="7"/>
        <v>0</v>
      </c>
      <c r="BW83" s="2"/>
      <c r="BX83" s="2">
        <f t="shared" si="8"/>
        <v>882460</v>
      </c>
      <c r="BY83" s="2"/>
      <c r="BZ83" s="36">
        <f>+BX83-GenBS!AC82</f>
        <v>0</v>
      </c>
      <c r="CC83" s="2"/>
    </row>
    <row r="84" spans="1:81" s="19" customFormat="1" ht="12" hidden="1">
      <c r="A84" s="72" t="s">
        <v>393</v>
      </c>
      <c r="C84" s="19" t="s">
        <v>191</v>
      </c>
      <c r="E84" s="19">
        <v>47159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9" t="s">
        <v>190</v>
      </c>
      <c r="AD84" s="19" t="s">
        <v>191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>
        <f t="shared" si="6"/>
        <v>0</v>
      </c>
      <c r="BA84" s="19" t="s">
        <v>190</v>
      </c>
      <c r="BC84" s="19" t="s">
        <v>191</v>
      </c>
      <c r="BD84" s="2"/>
      <c r="BE84" s="2"/>
      <c r="BF84" s="2"/>
      <c r="BG84" s="2"/>
      <c r="BH84" s="2">
        <v>0</v>
      </c>
      <c r="BI84" s="2"/>
      <c r="BJ84" s="2">
        <v>0</v>
      </c>
      <c r="BK84" s="2"/>
      <c r="BL84" s="2">
        <v>0</v>
      </c>
      <c r="BM84" s="2"/>
      <c r="BN84" s="2">
        <f t="shared" si="5"/>
        <v>0</v>
      </c>
      <c r="BO84" s="2"/>
      <c r="BP84" s="2">
        <f>GenRev!AW84-BN84</f>
        <v>0</v>
      </c>
      <c r="BQ84" s="2"/>
      <c r="BR84" s="2"/>
      <c r="BS84" s="2"/>
      <c r="BT84" s="2">
        <v>0</v>
      </c>
      <c r="BU84" s="2"/>
      <c r="BV84" s="2">
        <f t="shared" si="7"/>
        <v>0</v>
      </c>
      <c r="BW84" s="2"/>
      <c r="BX84" s="2">
        <f t="shared" si="8"/>
        <v>0</v>
      </c>
      <c r="BY84" s="2"/>
      <c r="BZ84" s="36">
        <f>+BX84-GenBS!AC83</f>
        <v>0</v>
      </c>
      <c r="CB84" s="72" t="s">
        <v>394</v>
      </c>
      <c r="CC84" s="2"/>
    </row>
    <row r="85" spans="1:81" s="19" customFormat="1" ht="12">
      <c r="A85" s="19" t="s">
        <v>192</v>
      </c>
      <c r="C85" s="19" t="s">
        <v>193</v>
      </c>
      <c r="E85" s="19">
        <v>47233</v>
      </c>
      <c r="G85" s="2">
        <v>2265460</v>
      </c>
      <c r="H85" s="2"/>
      <c r="I85" s="2">
        <v>4000650</v>
      </c>
      <c r="J85" s="2"/>
      <c r="K85" s="2">
        <v>0</v>
      </c>
      <c r="L85" s="2"/>
      <c r="M85" s="2">
        <v>0</v>
      </c>
      <c r="N85" s="2"/>
      <c r="O85" s="2">
        <v>3378329</v>
      </c>
      <c r="P85" s="2"/>
      <c r="Q85" s="2">
        <v>2146875</v>
      </c>
      <c r="R85" s="2"/>
      <c r="S85" s="2">
        <v>20499</v>
      </c>
      <c r="T85" s="2"/>
      <c r="U85" s="2">
        <v>293121</v>
      </c>
      <c r="V85" s="2"/>
      <c r="W85" s="2">
        <v>267587</v>
      </c>
      <c r="X85" s="2"/>
      <c r="Y85" s="2">
        <v>39214</v>
      </c>
      <c r="Z85" s="2"/>
      <c r="AA85" s="2">
        <v>193748</v>
      </c>
      <c r="AB85" s="19" t="s">
        <v>192</v>
      </c>
      <c r="AD85" s="19" t="s">
        <v>193</v>
      </c>
      <c r="AF85" s="2">
        <v>0</v>
      </c>
      <c r="AG85" s="2"/>
      <c r="AH85" s="2">
        <v>0</v>
      </c>
      <c r="AI85" s="2"/>
      <c r="AJ85" s="2">
        <v>0</v>
      </c>
      <c r="AK85" s="2"/>
      <c r="AL85" s="2">
        <v>0</v>
      </c>
      <c r="AM85" s="2"/>
      <c r="AN85" s="2">
        <v>0</v>
      </c>
      <c r="AO85" s="2"/>
      <c r="AP85" s="2">
        <v>0</v>
      </c>
      <c r="AQ85" s="2"/>
      <c r="AR85" s="2">
        <v>0</v>
      </c>
      <c r="AS85" s="2"/>
      <c r="AT85" s="2"/>
      <c r="AU85" s="2"/>
      <c r="AV85" s="2">
        <v>53131</v>
      </c>
      <c r="AW85" s="2"/>
      <c r="AX85" s="2">
        <v>10596</v>
      </c>
      <c r="AY85" s="2"/>
      <c r="AZ85" s="2">
        <f t="shared" si="6"/>
        <v>12669210</v>
      </c>
      <c r="BA85" s="19" t="s">
        <v>192</v>
      </c>
      <c r="BC85" s="19" t="s">
        <v>193</v>
      </c>
      <c r="BD85" s="2"/>
      <c r="BE85" s="2"/>
      <c r="BF85" s="2">
        <v>0</v>
      </c>
      <c r="BG85" s="2"/>
      <c r="BH85" s="2">
        <v>0</v>
      </c>
      <c r="BI85" s="2"/>
      <c r="BJ85" s="2">
        <v>0</v>
      </c>
      <c r="BK85" s="2"/>
      <c r="BL85" s="2">
        <v>0</v>
      </c>
      <c r="BM85" s="2"/>
      <c r="BN85" s="2">
        <f t="shared" si="5"/>
        <v>12669210</v>
      </c>
      <c r="BO85" s="2"/>
      <c r="BP85" s="2">
        <f>GenRev!AW85-BN85</f>
        <v>308002</v>
      </c>
      <c r="BQ85" s="2"/>
      <c r="BR85" s="2">
        <v>1240456</v>
      </c>
      <c r="BS85" s="2"/>
      <c r="BT85" s="2">
        <v>0</v>
      </c>
      <c r="BU85" s="2"/>
      <c r="BV85" s="2">
        <f t="shared" si="7"/>
        <v>0</v>
      </c>
      <c r="BW85" s="2"/>
      <c r="BX85" s="2">
        <f t="shared" si="8"/>
        <v>1548458</v>
      </c>
      <c r="BY85" s="2"/>
      <c r="BZ85" s="36">
        <f>+BX85-GenBS!AC84</f>
        <v>0</v>
      </c>
      <c r="CC85" s="2"/>
    </row>
    <row r="86" spans="1:81" s="19" customFormat="1" ht="12">
      <c r="A86" s="19" t="s">
        <v>194</v>
      </c>
      <c r="C86" s="19" t="s">
        <v>195</v>
      </c>
      <c r="E86" s="19">
        <v>47324</v>
      </c>
      <c r="G86" s="2">
        <v>7861108</v>
      </c>
      <c r="H86" s="2"/>
      <c r="I86" s="2">
        <v>0</v>
      </c>
      <c r="J86" s="2"/>
      <c r="K86" s="2">
        <v>140457</v>
      </c>
      <c r="L86" s="2"/>
      <c r="M86" s="2">
        <v>0</v>
      </c>
      <c r="N86" s="2"/>
      <c r="O86" s="2">
        <v>7490877</v>
      </c>
      <c r="P86" s="2"/>
      <c r="Q86" s="2">
        <v>3807083</v>
      </c>
      <c r="R86" s="2"/>
      <c r="S86" s="2">
        <v>30813</v>
      </c>
      <c r="T86" s="2"/>
      <c r="U86" s="2">
        <v>1577009</v>
      </c>
      <c r="V86" s="2"/>
      <c r="W86" s="2">
        <v>783652</v>
      </c>
      <c r="X86" s="2"/>
      <c r="Y86" s="2">
        <v>415246</v>
      </c>
      <c r="Z86" s="2"/>
      <c r="AA86" s="2">
        <v>366461</v>
      </c>
      <c r="AB86" s="19" t="s">
        <v>194</v>
      </c>
      <c r="AD86" s="19" t="s">
        <v>195</v>
      </c>
      <c r="AF86" s="2">
        <v>0</v>
      </c>
      <c r="AG86" s="2"/>
      <c r="AH86" s="2">
        <v>641578</v>
      </c>
      <c r="AI86" s="2"/>
      <c r="AJ86" s="2">
        <v>0</v>
      </c>
      <c r="AK86" s="2"/>
      <c r="AL86" s="2">
        <v>0</v>
      </c>
      <c r="AM86" s="2"/>
      <c r="AN86" s="2">
        <v>6923913</v>
      </c>
      <c r="AO86" s="2"/>
      <c r="AP86" s="2">
        <v>0</v>
      </c>
      <c r="AQ86" s="2"/>
      <c r="AR86" s="2">
        <v>3437</v>
      </c>
      <c r="AS86" s="2"/>
      <c r="AT86" s="2"/>
      <c r="AU86" s="2"/>
      <c r="AV86" s="2">
        <v>39000</v>
      </c>
      <c r="AW86" s="2"/>
      <c r="AX86" s="2">
        <v>104859</v>
      </c>
      <c r="AY86" s="2"/>
      <c r="AZ86" s="2">
        <f t="shared" si="6"/>
        <v>30185493</v>
      </c>
      <c r="BA86" s="19" t="s">
        <v>194</v>
      </c>
      <c r="BC86" s="19" t="s">
        <v>195</v>
      </c>
      <c r="BD86" s="2"/>
      <c r="BE86" s="2"/>
      <c r="BF86" s="2">
        <v>500000</v>
      </c>
      <c r="BG86" s="2"/>
      <c r="BH86" s="2">
        <v>0</v>
      </c>
      <c r="BI86" s="2"/>
      <c r="BJ86" s="2">
        <v>0</v>
      </c>
      <c r="BK86" s="2"/>
      <c r="BL86" s="2">
        <v>0</v>
      </c>
      <c r="BM86" s="2"/>
      <c r="BN86" s="2">
        <f t="shared" si="5"/>
        <v>30685493</v>
      </c>
      <c r="BO86" s="2"/>
      <c r="BP86" s="2">
        <f>GenRev!AW86-BN86</f>
        <v>694381</v>
      </c>
      <c r="BQ86" s="2"/>
      <c r="BR86" s="2">
        <v>3213853</v>
      </c>
      <c r="BS86" s="2"/>
      <c r="BT86" s="2">
        <v>0</v>
      </c>
      <c r="BU86" s="2"/>
      <c r="BV86" s="2">
        <f t="shared" si="7"/>
        <v>0</v>
      </c>
      <c r="BW86" s="2"/>
      <c r="BX86" s="2">
        <f t="shared" si="8"/>
        <v>3908234</v>
      </c>
      <c r="BY86" s="2"/>
      <c r="BZ86" s="36">
        <f>+BX86-GenBS!AC85</f>
        <v>0</v>
      </c>
      <c r="CC86" s="2"/>
    </row>
    <row r="87" spans="1:81" s="19" customFormat="1" ht="12">
      <c r="A87" s="19" t="s">
        <v>196</v>
      </c>
      <c r="C87" s="19" t="s">
        <v>197</v>
      </c>
      <c r="E87" s="19">
        <v>47407</v>
      </c>
      <c r="G87" s="2">
        <v>66587</v>
      </c>
      <c r="H87" s="2"/>
      <c r="I87" s="2">
        <v>1341806</v>
      </c>
      <c r="J87" s="2"/>
      <c r="K87" s="2">
        <v>0</v>
      </c>
      <c r="L87" s="2"/>
      <c r="M87" s="2">
        <v>0</v>
      </c>
      <c r="N87" s="2"/>
      <c r="O87" s="2">
        <v>1025484</v>
      </c>
      <c r="P87" s="2"/>
      <c r="Q87" s="2">
        <v>1812310</v>
      </c>
      <c r="R87" s="2"/>
      <c r="S87" s="2">
        <v>35418</v>
      </c>
      <c r="T87" s="2"/>
      <c r="U87" s="2">
        <v>439455</v>
      </c>
      <c r="V87" s="2"/>
      <c r="W87" s="2">
        <v>224195</v>
      </c>
      <c r="X87" s="2"/>
      <c r="Y87" s="2">
        <v>0</v>
      </c>
      <c r="Z87" s="2"/>
      <c r="AA87" s="2">
        <v>69741</v>
      </c>
      <c r="AB87" s="19" t="s">
        <v>196</v>
      </c>
      <c r="AD87" s="19" t="s">
        <v>197</v>
      </c>
      <c r="AF87" s="2">
        <v>81813</v>
      </c>
      <c r="AG87" s="2"/>
      <c r="AH87" s="2">
        <v>12023</v>
      </c>
      <c r="AI87" s="2"/>
      <c r="AJ87" s="2">
        <v>0</v>
      </c>
      <c r="AK87" s="2"/>
      <c r="AL87" s="2">
        <v>0</v>
      </c>
      <c r="AM87" s="2"/>
      <c r="AN87" s="2">
        <v>3151</v>
      </c>
      <c r="AO87" s="2"/>
      <c r="AP87" s="2">
        <v>0</v>
      </c>
      <c r="AQ87" s="2"/>
      <c r="AR87" s="2">
        <v>0</v>
      </c>
      <c r="AS87" s="2"/>
      <c r="AT87" s="2"/>
      <c r="AU87" s="2"/>
      <c r="AV87" s="2">
        <v>0</v>
      </c>
      <c r="AW87" s="2"/>
      <c r="AX87" s="2">
        <v>0</v>
      </c>
      <c r="AY87" s="2"/>
      <c r="AZ87" s="2">
        <f t="shared" si="6"/>
        <v>5111983</v>
      </c>
      <c r="BA87" s="19" t="s">
        <v>196</v>
      </c>
      <c r="BC87" s="19" t="s">
        <v>197</v>
      </c>
      <c r="BD87" s="2"/>
      <c r="BE87" s="2"/>
      <c r="BF87" s="2">
        <v>0</v>
      </c>
      <c r="BG87" s="2"/>
      <c r="BH87" s="2">
        <v>0</v>
      </c>
      <c r="BI87" s="2"/>
      <c r="BJ87" s="2">
        <v>0</v>
      </c>
      <c r="BK87" s="2"/>
      <c r="BL87" s="2">
        <v>0</v>
      </c>
      <c r="BM87" s="2"/>
      <c r="BN87" s="2">
        <f t="shared" si="5"/>
        <v>5111983</v>
      </c>
      <c r="BO87" s="2"/>
      <c r="BP87" s="2">
        <f>GenRev!AW87-BN87</f>
        <v>54373</v>
      </c>
      <c r="BQ87" s="2"/>
      <c r="BR87" s="2">
        <v>484113</v>
      </c>
      <c r="BS87" s="2"/>
      <c r="BT87" s="2">
        <v>0</v>
      </c>
      <c r="BU87" s="2"/>
      <c r="BV87" s="2">
        <f t="shared" si="7"/>
        <v>0</v>
      </c>
      <c r="BW87" s="2"/>
      <c r="BX87" s="2">
        <f t="shared" si="8"/>
        <v>538486</v>
      </c>
      <c r="BY87" s="2"/>
      <c r="BZ87" s="36">
        <f>+BX87-GenBS!AC86</f>
        <v>0</v>
      </c>
      <c r="CC87" s="2"/>
    </row>
    <row r="88" spans="1:81" s="19" customFormat="1" ht="12">
      <c r="A88" s="19" t="s">
        <v>198</v>
      </c>
      <c r="C88" s="19" t="s">
        <v>23</v>
      </c>
      <c r="E88" s="19">
        <v>47480</v>
      </c>
      <c r="G88" s="2">
        <v>51955</v>
      </c>
      <c r="H88" s="2"/>
      <c r="I88" s="2">
        <v>284975</v>
      </c>
      <c r="J88" s="2"/>
      <c r="K88" s="2">
        <v>0</v>
      </c>
      <c r="L88" s="2"/>
      <c r="M88" s="2">
        <v>0</v>
      </c>
      <c r="N88" s="2"/>
      <c r="O88" s="2">
        <v>730817</v>
      </c>
      <c r="P88" s="2"/>
      <c r="Q88" s="2">
        <v>173554</v>
      </c>
      <c r="R88" s="2"/>
      <c r="S88" s="2">
        <v>19507</v>
      </c>
      <c r="T88" s="2"/>
      <c r="U88" s="2">
        <v>237145</v>
      </c>
      <c r="V88" s="2"/>
      <c r="W88" s="2">
        <v>171987</v>
      </c>
      <c r="X88" s="2"/>
      <c r="Y88" s="2">
        <v>0</v>
      </c>
      <c r="Z88" s="2"/>
      <c r="AA88" s="2">
        <v>13192</v>
      </c>
      <c r="AB88" s="19" t="s">
        <v>198</v>
      </c>
      <c r="AD88" s="19" t="s">
        <v>23</v>
      </c>
      <c r="AF88" s="2">
        <v>0</v>
      </c>
      <c r="AG88" s="2"/>
      <c r="AH88" s="2">
        <v>87836</v>
      </c>
      <c r="AI88" s="2"/>
      <c r="AJ88" s="2">
        <v>0</v>
      </c>
      <c r="AK88" s="2"/>
      <c r="AL88" s="2">
        <v>0</v>
      </c>
      <c r="AM88" s="2"/>
      <c r="AN88" s="2">
        <v>0</v>
      </c>
      <c r="AO88" s="2"/>
      <c r="AP88" s="2">
        <v>2134</v>
      </c>
      <c r="AQ88" s="2"/>
      <c r="AR88" s="2">
        <v>0</v>
      </c>
      <c r="AS88" s="2"/>
      <c r="AT88" s="2"/>
      <c r="AU88" s="2"/>
      <c r="AV88" s="2">
        <v>0</v>
      </c>
      <c r="AW88" s="2"/>
      <c r="AX88" s="2">
        <v>0</v>
      </c>
      <c r="AY88" s="2"/>
      <c r="AZ88" s="2">
        <f t="shared" si="6"/>
        <v>1773102</v>
      </c>
      <c r="BA88" s="19" t="s">
        <v>198</v>
      </c>
      <c r="BC88" s="19" t="s">
        <v>23</v>
      </c>
      <c r="BD88" s="2"/>
      <c r="BE88" s="2"/>
      <c r="BF88" s="2">
        <v>0</v>
      </c>
      <c r="BG88" s="2"/>
      <c r="BH88" s="2">
        <v>0</v>
      </c>
      <c r="BI88" s="2"/>
      <c r="BJ88" s="2">
        <v>0</v>
      </c>
      <c r="BK88" s="2"/>
      <c r="BL88" s="2">
        <v>0</v>
      </c>
      <c r="BM88" s="2"/>
      <c r="BN88" s="2">
        <f t="shared" si="5"/>
        <v>1773102</v>
      </c>
      <c r="BO88" s="2"/>
      <c r="BP88" s="2">
        <f>GenRev!AW88-BN88</f>
        <v>81597</v>
      </c>
      <c r="BQ88" s="2"/>
      <c r="BR88" s="2">
        <v>1127939</v>
      </c>
      <c r="BS88" s="2"/>
      <c r="BT88" s="2">
        <v>0</v>
      </c>
      <c r="BU88" s="2"/>
      <c r="BV88" s="2">
        <f t="shared" si="7"/>
        <v>0</v>
      </c>
      <c r="BW88" s="2"/>
      <c r="BX88" s="2">
        <f t="shared" si="8"/>
        <v>1209536</v>
      </c>
      <c r="BY88" s="2"/>
      <c r="BZ88" s="36">
        <f>+BX88-GenBS!AC87</f>
        <v>0</v>
      </c>
      <c r="CC88" s="2"/>
    </row>
    <row r="89" spans="1:81" s="19" customFormat="1" ht="12">
      <c r="A89" s="19" t="s">
        <v>199</v>
      </c>
      <c r="C89" s="19" t="s">
        <v>200</v>
      </c>
      <c r="E89" s="19">
        <v>47779</v>
      </c>
      <c r="G89" s="2">
        <v>191775</v>
      </c>
      <c r="H89" s="2"/>
      <c r="I89" s="2">
        <v>435030</v>
      </c>
      <c r="J89" s="2"/>
      <c r="K89" s="2">
        <v>0</v>
      </c>
      <c r="L89" s="2"/>
      <c r="M89" s="2">
        <v>6200</v>
      </c>
      <c r="N89" s="2"/>
      <c r="O89" s="2">
        <v>1153155</v>
      </c>
      <c r="P89" s="2"/>
      <c r="Q89" s="2">
        <v>2664873</v>
      </c>
      <c r="R89" s="2"/>
      <c r="S89" s="2">
        <v>19360</v>
      </c>
      <c r="T89" s="2"/>
      <c r="U89" s="2">
        <v>878119</v>
      </c>
      <c r="V89" s="2"/>
      <c r="W89" s="2">
        <v>247746</v>
      </c>
      <c r="X89" s="2"/>
      <c r="Y89" s="2">
        <v>0</v>
      </c>
      <c r="Z89" s="2"/>
      <c r="AA89" s="2">
        <v>13545</v>
      </c>
      <c r="AB89" s="19" t="s">
        <v>199</v>
      </c>
      <c r="AD89" s="19" t="s">
        <v>200</v>
      </c>
      <c r="AF89" s="2">
        <v>0</v>
      </c>
      <c r="AG89" s="2"/>
      <c r="AH89" s="2">
        <v>0</v>
      </c>
      <c r="AI89" s="2"/>
      <c r="AJ89" s="2">
        <v>0</v>
      </c>
      <c r="AK89" s="2"/>
      <c r="AL89" s="2">
        <v>0</v>
      </c>
      <c r="AM89" s="2"/>
      <c r="AN89" s="2">
        <v>2220</v>
      </c>
      <c r="AO89" s="2"/>
      <c r="AP89" s="2">
        <v>0</v>
      </c>
      <c r="AQ89" s="2"/>
      <c r="AR89" s="2">
        <v>0</v>
      </c>
      <c r="AS89" s="2"/>
      <c r="AT89" s="2"/>
      <c r="AU89" s="2"/>
      <c r="AV89" s="2">
        <v>4124</v>
      </c>
      <c r="AW89" s="2"/>
      <c r="AX89" s="2">
        <v>238</v>
      </c>
      <c r="AY89" s="2"/>
      <c r="AZ89" s="2">
        <f t="shared" si="6"/>
        <v>5616385</v>
      </c>
      <c r="BA89" s="19" t="s">
        <v>199</v>
      </c>
      <c r="BC89" s="19" t="s">
        <v>200</v>
      </c>
      <c r="BD89" s="2"/>
      <c r="BE89" s="2"/>
      <c r="BF89" s="2">
        <v>0</v>
      </c>
      <c r="BG89" s="2"/>
      <c r="BH89" s="2">
        <v>0</v>
      </c>
      <c r="BI89" s="2"/>
      <c r="BJ89" s="2">
        <v>0</v>
      </c>
      <c r="BK89" s="2"/>
      <c r="BL89" s="2">
        <v>0</v>
      </c>
      <c r="BM89" s="2"/>
      <c r="BN89" s="2">
        <f t="shared" si="5"/>
        <v>5616385</v>
      </c>
      <c r="BO89" s="2"/>
      <c r="BP89" s="2">
        <f>GenRev!AW89-BN89</f>
        <v>892830</v>
      </c>
      <c r="BQ89" s="2"/>
      <c r="BR89" s="2">
        <v>1913742</v>
      </c>
      <c r="BS89" s="2"/>
      <c r="BT89" s="2">
        <v>0</v>
      </c>
      <c r="BU89" s="2"/>
      <c r="BV89" s="2">
        <f t="shared" si="7"/>
        <v>0</v>
      </c>
      <c r="BW89" s="2"/>
      <c r="BX89" s="2">
        <f t="shared" si="8"/>
        <v>2806572</v>
      </c>
      <c r="BY89" s="2"/>
      <c r="BZ89" s="36">
        <f>+BX89-GenBS!AC88</f>
        <v>0</v>
      </c>
      <c r="CC89" s="2"/>
    </row>
    <row r="90" spans="1:81" s="19" customFormat="1" ht="12">
      <c r="A90" s="19" t="s">
        <v>201</v>
      </c>
      <c r="C90" s="19" t="s">
        <v>202</v>
      </c>
      <c r="E90" s="19">
        <v>47811</v>
      </c>
      <c r="G90" s="2">
        <v>27404</v>
      </c>
      <c r="H90" s="2"/>
      <c r="I90" s="2">
        <v>4082994</v>
      </c>
      <c r="J90" s="2"/>
      <c r="K90" s="2">
        <v>0</v>
      </c>
      <c r="L90" s="2"/>
      <c r="M90" s="2">
        <v>0</v>
      </c>
      <c r="N90" s="2"/>
      <c r="O90" s="2">
        <v>586164</v>
      </c>
      <c r="P90" s="2"/>
      <c r="Q90" s="2">
        <v>599383</v>
      </c>
      <c r="R90" s="2"/>
      <c r="S90" s="2">
        <v>28032</v>
      </c>
      <c r="T90" s="2"/>
      <c r="U90" s="2">
        <v>351130</v>
      </c>
      <c r="V90" s="2"/>
      <c r="W90" s="2">
        <v>89112</v>
      </c>
      <c r="X90" s="2"/>
      <c r="Y90" s="2">
        <v>0</v>
      </c>
      <c r="Z90" s="2"/>
      <c r="AA90" s="2">
        <v>51248</v>
      </c>
      <c r="AB90" s="19" t="s">
        <v>201</v>
      </c>
      <c r="AD90" s="19" t="s">
        <v>202</v>
      </c>
      <c r="AF90" s="2">
        <v>0</v>
      </c>
      <c r="AG90" s="2"/>
      <c r="AH90" s="2">
        <v>4008</v>
      </c>
      <c r="AI90" s="2"/>
      <c r="AJ90" s="2">
        <v>0</v>
      </c>
      <c r="AK90" s="2"/>
      <c r="AL90" s="2">
        <v>0</v>
      </c>
      <c r="AM90" s="2"/>
      <c r="AN90" s="2">
        <v>0</v>
      </c>
      <c r="AO90" s="2"/>
      <c r="AP90" s="2">
        <v>0</v>
      </c>
      <c r="AQ90" s="2"/>
      <c r="AR90" s="2">
        <v>0</v>
      </c>
      <c r="AS90" s="2"/>
      <c r="AT90" s="2"/>
      <c r="AU90" s="2"/>
      <c r="AV90" s="2">
        <v>0</v>
      </c>
      <c r="AW90" s="2"/>
      <c r="AX90" s="2">
        <v>0</v>
      </c>
      <c r="AY90" s="2"/>
      <c r="AZ90" s="2">
        <f t="shared" si="6"/>
        <v>5819475</v>
      </c>
      <c r="BA90" s="19" t="s">
        <v>201</v>
      </c>
      <c r="BC90" s="19" t="s">
        <v>202</v>
      </c>
      <c r="BD90" s="2"/>
      <c r="BE90" s="2"/>
      <c r="BF90" s="2">
        <v>0</v>
      </c>
      <c r="BG90" s="2"/>
      <c r="BH90" s="2">
        <v>0</v>
      </c>
      <c r="BI90" s="2"/>
      <c r="BJ90" s="2">
        <v>0</v>
      </c>
      <c r="BK90" s="2"/>
      <c r="BL90" s="2">
        <v>0</v>
      </c>
      <c r="BM90" s="2"/>
      <c r="BN90" s="2">
        <f t="shared" si="5"/>
        <v>5819475</v>
      </c>
      <c r="BO90" s="2"/>
      <c r="BP90" s="2">
        <f>GenRev!AW90-BN90</f>
        <v>-537033</v>
      </c>
      <c r="BQ90" s="2"/>
      <c r="BR90" s="2">
        <v>1011126</v>
      </c>
      <c r="BS90" s="2"/>
      <c r="BT90" s="2">
        <v>0</v>
      </c>
      <c r="BU90" s="2"/>
      <c r="BV90" s="2">
        <f t="shared" si="7"/>
        <v>0</v>
      </c>
      <c r="BW90" s="2"/>
      <c r="BX90" s="2">
        <f t="shared" si="8"/>
        <v>474093</v>
      </c>
      <c r="BY90" s="2"/>
      <c r="BZ90" s="36">
        <f>+BX90-GenBS!AC89</f>
        <v>0</v>
      </c>
      <c r="CC90" s="2"/>
    </row>
    <row r="91" spans="1:81" s="19" customFormat="1" ht="12">
      <c r="A91" s="19" t="s">
        <v>203</v>
      </c>
      <c r="C91" s="19" t="s">
        <v>158</v>
      </c>
      <c r="E91" s="19">
        <v>47860</v>
      </c>
      <c r="G91" s="2">
        <v>116076</v>
      </c>
      <c r="H91" s="2"/>
      <c r="I91" s="2">
        <v>2506097</v>
      </c>
      <c r="J91" s="2"/>
      <c r="K91" s="2">
        <v>351593</v>
      </c>
      <c r="L91" s="2"/>
      <c r="M91" s="2">
        <v>18079</v>
      </c>
      <c r="N91" s="2"/>
      <c r="O91" s="2">
        <v>2541414</v>
      </c>
      <c r="P91" s="2"/>
      <c r="Q91" s="2">
        <v>1256436</v>
      </c>
      <c r="R91" s="2"/>
      <c r="S91" s="2">
        <v>12771</v>
      </c>
      <c r="T91" s="2"/>
      <c r="U91" s="2">
        <v>1356205</v>
      </c>
      <c r="V91" s="2"/>
      <c r="W91" s="2">
        <v>549104</v>
      </c>
      <c r="X91" s="2"/>
      <c r="Y91" s="2">
        <v>0</v>
      </c>
      <c r="Z91" s="2"/>
      <c r="AA91" s="2">
        <v>126698</v>
      </c>
      <c r="AB91" s="19" t="s">
        <v>203</v>
      </c>
      <c r="AD91" s="19" t="s">
        <v>158</v>
      </c>
      <c r="AF91" s="2">
        <v>149021</v>
      </c>
      <c r="AG91" s="2"/>
      <c r="AH91" s="2">
        <v>764481</v>
      </c>
      <c r="AI91" s="2"/>
      <c r="AJ91" s="2">
        <v>0</v>
      </c>
      <c r="AK91" s="2"/>
      <c r="AL91" s="2">
        <v>0</v>
      </c>
      <c r="AM91" s="2"/>
      <c r="AN91" s="2">
        <v>134179</v>
      </c>
      <c r="AO91" s="2"/>
      <c r="AP91" s="2">
        <v>449</v>
      </c>
      <c r="AQ91" s="2"/>
      <c r="AR91" s="2">
        <v>0</v>
      </c>
      <c r="AS91" s="2"/>
      <c r="AT91" s="2"/>
      <c r="AU91" s="2"/>
      <c r="AV91" s="2">
        <v>0</v>
      </c>
      <c r="AW91" s="2"/>
      <c r="AX91" s="2">
        <v>0</v>
      </c>
      <c r="AY91" s="2"/>
      <c r="AZ91" s="2">
        <f t="shared" si="6"/>
        <v>9882603</v>
      </c>
      <c r="BA91" s="19" t="s">
        <v>203</v>
      </c>
      <c r="BC91" s="19" t="s">
        <v>158</v>
      </c>
      <c r="BD91" s="2"/>
      <c r="BE91" s="2"/>
      <c r="BF91" s="2">
        <v>1939</v>
      </c>
      <c r="BG91" s="2"/>
      <c r="BH91" s="2">
        <v>0</v>
      </c>
      <c r="BI91" s="2"/>
      <c r="BJ91" s="2">
        <v>0</v>
      </c>
      <c r="BK91" s="2"/>
      <c r="BL91" s="2">
        <v>0</v>
      </c>
      <c r="BM91" s="2"/>
      <c r="BN91" s="2">
        <f t="shared" si="5"/>
        <v>9884542</v>
      </c>
      <c r="BO91" s="2"/>
      <c r="BP91" s="2">
        <f>GenRev!AW91-BN91</f>
        <v>715921</v>
      </c>
      <c r="BQ91" s="2"/>
      <c r="BR91" s="2">
        <v>-206802</v>
      </c>
      <c r="BS91" s="2"/>
      <c r="BT91" s="2">
        <v>0</v>
      </c>
      <c r="BU91" s="2"/>
      <c r="BV91" s="2">
        <f t="shared" si="7"/>
        <v>0</v>
      </c>
      <c r="BW91" s="2"/>
      <c r="BX91" s="2">
        <f t="shared" si="8"/>
        <v>509119</v>
      </c>
      <c r="BY91" s="2"/>
      <c r="BZ91" s="36">
        <f>+BX91-GenBS!AC90</f>
        <v>0</v>
      </c>
      <c r="CB91" s="13"/>
      <c r="CC91" s="2"/>
    </row>
    <row r="92" spans="1:81" s="19" customFormat="1" ht="12">
      <c r="A92" s="19" t="s">
        <v>204</v>
      </c>
      <c r="C92" s="19" t="s">
        <v>205</v>
      </c>
      <c r="E92" s="19">
        <v>47910</v>
      </c>
      <c r="G92" s="2">
        <v>29719</v>
      </c>
      <c r="H92" s="2"/>
      <c r="I92" s="2">
        <v>0</v>
      </c>
      <c r="J92" s="2"/>
      <c r="K92" s="2">
        <v>0</v>
      </c>
      <c r="L92" s="2"/>
      <c r="M92" s="2">
        <v>0</v>
      </c>
      <c r="N92" s="2"/>
      <c r="O92" s="2">
        <v>465059</v>
      </c>
      <c r="P92" s="2"/>
      <c r="Q92" s="2">
        <v>383996</v>
      </c>
      <c r="R92" s="2"/>
      <c r="S92" s="2">
        <v>74601</v>
      </c>
      <c r="T92" s="2"/>
      <c r="U92" s="2">
        <v>278229</v>
      </c>
      <c r="V92" s="2"/>
      <c r="W92" s="2">
        <v>133586</v>
      </c>
      <c r="X92" s="2"/>
      <c r="Y92" s="2">
        <v>260</v>
      </c>
      <c r="Z92" s="2"/>
      <c r="AA92" s="2">
        <v>22396</v>
      </c>
      <c r="AB92" s="19" t="s">
        <v>204</v>
      </c>
      <c r="AD92" s="19" t="s">
        <v>205</v>
      </c>
      <c r="AF92" s="2">
        <v>0</v>
      </c>
      <c r="AG92" s="2"/>
      <c r="AH92" s="2">
        <v>67867</v>
      </c>
      <c r="AI92" s="2"/>
      <c r="AJ92" s="2">
        <v>0</v>
      </c>
      <c r="AK92" s="2"/>
      <c r="AL92" s="2">
        <v>0</v>
      </c>
      <c r="AM92" s="2"/>
      <c r="AN92" s="2">
        <v>0</v>
      </c>
      <c r="AO92" s="2"/>
      <c r="AP92" s="2">
        <v>0</v>
      </c>
      <c r="AQ92" s="2"/>
      <c r="AR92" s="2">
        <v>0</v>
      </c>
      <c r="AS92" s="2"/>
      <c r="AT92" s="2"/>
      <c r="AU92" s="2"/>
      <c r="AV92" s="2">
        <v>0</v>
      </c>
      <c r="AW92" s="2"/>
      <c r="AX92" s="2">
        <v>0</v>
      </c>
      <c r="AY92" s="2"/>
      <c r="AZ92" s="2">
        <f t="shared" si="6"/>
        <v>1455713</v>
      </c>
      <c r="BA92" s="19" t="s">
        <v>204</v>
      </c>
      <c r="BC92" s="19" t="s">
        <v>205</v>
      </c>
      <c r="BD92" s="2"/>
      <c r="BE92" s="2"/>
      <c r="BF92" s="2">
        <v>10600</v>
      </c>
      <c r="BG92" s="2"/>
      <c r="BH92" s="2">
        <v>0</v>
      </c>
      <c r="BI92" s="2"/>
      <c r="BJ92" s="2">
        <v>0</v>
      </c>
      <c r="BK92" s="2"/>
      <c r="BL92" s="2">
        <v>0</v>
      </c>
      <c r="BM92" s="2"/>
      <c r="BN92" s="2">
        <f t="shared" si="5"/>
        <v>1466313</v>
      </c>
      <c r="BO92" s="2"/>
      <c r="BP92" s="2">
        <f>GenRev!AW92-BN92</f>
        <v>67536</v>
      </c>
      <c r="BQ92" s="2"/>
      <c r="BR92" s="2">
        <v>44594</v>
      </c>
      <c r="BS92" s="2"/>
      <c r="BT92" s="2">
        <v>0</v>
      </c>
      <c r="BU92" s="2"/>
      <c r="BV92" s="2">
        <f t="shared" si="7"/>
        <v>0</v>
      </c>
      <c r="BW92" s="2"/>
      <c r="BX92" s="2">
        <f t="shared" si="8"/>
        <v>112130</v>
      </c>
      <c r="BY92" s="2"/>
      <c r="BZ92" s="36">
        <f>+BX92-GenBS!AC91</f>
        <v>0</v>
      </c>
      <c r="CC92" s="2"/>
    </row>
    <row r="93" spans="1:81" s="19" customFormat="1" ht="12">
      <c r="A93" s="13" t="s">
        <v>206</v>
      </c>
      <c r="B93" s="13"/>
      <c r="C93" s="13" t="s">
        <v>207</v>
      </c>
      <c r="G93" s="2">
        <v>0</v>
      </c>
      <c r="H93" s="2"/>
      <c r="I93" s="2">
        <v>2477899</v>
      </c>
      <c r="J93" s="2"/>
      <c r="K93" s="2">
        <v>0</v>
      </c>
      <c r="L93" s="2"/>
      <c r="M93" s="2">
        <v>0</v>
      </c>
      <c r="N93" s="2"/>
      <c r="O93" s="2">
        <v>1528264</v>
      </c>
      <c r="P93" s="2"/>
      <c r="Q93" s="2">
        <v>3746910</v>
      </c>
      <c r="R93" s="2"/>
      <c r="S93" s="2">
        <v>13500</v>
      </c>
      <c r="T93" s="2"/>
      <c r="U93" s="2">
        <v>833773</v>
      </c>
      <c r="V93" s="2"/>
      <c r="W93" s="2">
        <v>207302</v>
      </c>
      <c r="X93" s="2"/>
      <c r="Y93" s="2">
        <v>11054</v>
      </c>
      <c r="Z93" s="2"/>
      <c r="AA93" s="2">
        <v>98511</v>
      </c>
      <c r="AB93" s="13" t="s">
        <v>206</v>
      </c>
      <c r="AC93" s="13"/>
      <c r="AD93" s="13" t="s">
        <v>207</v>
      </c>
      <c r="AE93" s="13"/>
      <c r="AF93" s="2">
        <v>0</v>
      </c>
      <c r="AG93" s="2"/>
      <c r="AH93" s="2">
        <v>238689</v>
      </c>
      <c r="AI93" s="2"/>
      <c r="AJ93" s="2">
        <v>0</v>
      </c>
      <c r="AK93" s="2"/>
      <c r="AL93" s="2">
        <v>0</v>
      </c>
      <c r="AM93" s="2"/>
      <c r="AN93" s="2">
        <v>0</v>
      </c>
      <c r="AO93" s="2"/>
      <c r="AP93" s="2">
        <v>0</v>
      </c>
      <c r="AQ93" s="2"/>
      <c r="AR93" s="2">
        <v>0</v>
      </c>
      <c r="AS93" s="2"/>
      <c r="AT93" s="2"/>
      <c r="AU93" s="2"/>
      <c r="AV93" s="2">
        <v>14885</v>
      </c>
      <c r="AW93" s="2"/>
      <c r="AX93" s="2">
        <v>3918</v>
      </c>
      <c r="AY93" s="2"/>
      <c r="AZ93" s="2">
        <f t="shared" si="6"/>
        <v>9174705</v>
      </c>
      <c r="BA93" s="13" t="s">
        <v>206</v>
      </c>
      <c r="BB93" s="13"/>
      <c r="BC93" s="13" t="s">
        <v>207</v>
      </c>
      <c r="BD93" s="2"/>
      <c r="BE93" s="2"/>
      <c r="BF93" s="2">
        <v>35000</v>
      </c>
      <c r="BG93" s="2"/>
      <c r="BH93" s="2">
        <v>0</v>
      </c>
      <c r="BI93" s="2"/>
      <c r="BJ93" s="2">
        <v>0</v>
      </c>
      <c r="BK93" s="2"/>
      <c r="BL93" s="2">
        <v>0</v>
      </c>
      <c r="BM93" s="2"/>
      <c r="BN93" s="2">
        <f t="shared" si="5"/>
        <v>9209705</v>
      </c>
      <c r="BO93" s="2"/>
      <c r="BP93" s="2">
        <f>GenRev!AW93-BN93</f>
        <v>79984</v>
      </c>
      <c r="BQ93" s="2"/>
      <c r="BR93" s="2">
        <v>-61225</v>
      </c>
      <c r="BS93" s="2"/>
      <c r="BT93" s="2">
        <v>0</v>
      </c>
      <c r="BU93" s="2"/>
      <c r="BV93" s="2">
        <f>-BT93</f>
        <v>0</v>
      </c>
      <c r="BW93" s="2"/>
      <c r="BX93" s="2">
        <f>+BR93+BP93-BT93</f>
        <v>18759</v>
      </c>
      <c r="BY93" s="2"/>
      <c r="BZ93" s="36">
        <f>+BX93-GenBS!AC92</f>
        <v>0</v>
      </c>
      <c r="CC93" s="2"/>
    </row>
    <row r="94" spans="1:81" s="19" customFormat="1" ht="12">
      <c r="A94" s="19" t="s">
        <v>208</v>
      </c>
      <c r="C94" s="19" t="s">
        <v>209</v>
      </c>
      <c r="E94" s="19">
        <v>48058</v>
      </c>
      <c r="G94" s="2">
        <v>0</v>
      </c>
      <c r="H94" s="2"/>
      <c r="I94" s="2">
        <v>1221902</v>
      </c>
      <c r="J94" s="2"/>
      <c r="K94" s="2">
        <v>0</v>
      </c>
      <c r="L94" s="2"/>
      <c r="M94" s="2">
        <v>0</v>
      </c>
      <c r="N94" s="2"/>
      <c r="O94" s="2">
        <v>470883</v>
      </c>
      <c r="P94" s="2"/>
      <c r="Q94" s="2">
        <v>189819</v>
      </c>
      <c r="R94" s="2"/>
      <c r="S94" s="2">
        <v>9783</v>
      </c>
      <c r="T94" s="2"/>
      <c r="U94" s="2">
        <v>148208</v>
      </c>
      <c r="V94" s="2"/>
      <c r="W94" s="2">
        <v>340512</v>
      </c>
      <c r="X94" s="2"/>
      <c r="Y94" s="2">
        <v>0</v>
      </c>
      <c r="Z94" s="2"/>
      <c r="AA94" s="2">
        <v>9422</v>
      </c>
      <c r="AB94" s="19" t="s">
        <v>208</v>
      </c>
      <c r="AD94" s="19" t="s">
        <v>209</v>
      </c>
      <c r="AF94" s="2">
        <v>0</v>
      </c>
      <c r="AG94" s="2"/>
      <c r="AH94" s="2">
        <v>40978</v>
      </c>
      <c r="AI94" s="2"/>
      <c r="AJ94" s="2">
        <v>0</v>
      </c>
      <c r="AK94" s="2"/>
      <c r="AL94" s="2">
        <v>0</v>
      </c>
      <c r="AM94" s="2"/>
      <c r="AN94" s="2">
        <v>31739</v>
      </c>
      <c r="AO94" s="2"/>
      <c r="AP94" s="2">
        <v>0</v>
      </c>
      <c r="AQ94" s="2"/>
      <c r="AR94" s="2">
        <v>0</v>
      </c>
      <c r="AS94" s="2"/>
      <c r="AT94" s="2"/>
      <c r="AU94" s="2"/>
      <c r="AV94" s="2">
        <v>0</v>
      </c>
      <c r="AW94" s="2"/>
      <c r="AX94" s="2">
        <v>0</v>
      </c>
      <c r="AY94" s="2"/>
      <c r="AZ94" s="2">
        <f t="shared" si="6"/>
        <v>2463246</v>
      </c>
      <c r="BA94" s="19" t="s">
        <v>208</v>
      </c>
      <c r="BC94" s="19" t="s">
        <v>209</v>
      </c>
      <c r="BD94" s="2"/>
      <c r="BE94" s="2"/>
      <c r="BF94" s="2">
        <v>0</v>
      </c>
      <c r="BG94" s="2"/>
      <c r="BH94" s="2">
        <v>0</v>
      </c>
      <c r="BI94" s="2"/>
      <c r="BJ94" s="2">
        <v>0</v>
      </c>
      <c r="BK94" s="2"/>
      <c r="BL94" s="2">
        <v>0</v>
      </c>
      <c r="BM94" s="2"/>
      <c r="BN94" s="2">
        <f t="shared" si="5"/>
        <v>2463246</v>
      </c>
      <c r="BO94" s="2"/>
      <c r="BP94" s="2">
        <f>GenRev!AW94-BN94</f>
        <v>-78387</v>
      </c>
      <c r="BQ94" s="2"/>
      <c r="BR94" s="2">
        <v>417141</v>
      </c>
      <c r="BS94" s="2"/>
      <c r="BT94" s="2">
        <v>0</v>
      </c>
      <c r="BU94" s="2"/>
      <c r="BV94" s="2">
        <f t="shared" si="7"/>
        <v>0</v>
      </c>
      <c r="BW94" s="2"/>
      <c r="BX94" s="2">
        <f t="shared" si="8"/>
        <v>338754</v>
      </c>
      <c r="BY94" s="2"/>
      <c r="BZ94" s="36">
        <f>+BX94-GenBS!AC93</f>
        <v>0</v>
      </c>
      <c r="CC94" s="2"/>
    </row>
    <row r="95" spans="1:81" s="19" customFormat="1" ht="12">
      <c r="A95" s="19" t="s">
        <v>210</v>
      </c>
      <c r="C95" s="19" t="s">
        <v>154</v>
      </c>
      <c r="E95" s="19">
        <v>48108</v>
      </c>
      <c r="G95" s="2">
        <v>746223</v>
      </c>
      <c r="H95" s="2"/>
      <c r="I95" s="2">
        <v>1010388</v>
      </c>
      <c r="J95" s="2"/>
      <c r="K95" s="2">
        <v>0</v>
      </c>
      <c r="L95" s="2"/>
      <c r="M95" s="2">
        <v>0</v>
      </c>
      <c r="N95" s="2"/>
      <c r="O95" s="2">
        <v>1298396</v>
      </c>
      <c r="P95" s="2"/>
      <c r="Q95" s="2">
        <v>3383106</v>
      </c>
      <c r="R95" s="2"/>
      <c r="S95" s="2">
        <v>52344</v>
      </c>
      <c r="T95" s="2"/>
      <c r="U95" s="2">
        <v>570532</v>
      </c>
      <c r="V95" s="2"/>
      <c r="W95" s="2">
        <v>359649</v>
      </c>
      <c r="X95" s="2"/>
      <c r="Y95" s="2">
        <v>420863</v>
      </c>
      <c r="Z95" s="2"/>
      <c r="AA95" s="2">
        <v>319563</v>
      </c>
      <c r="AB95" s="19" t="s">
        <v>210</v>
      </c>
      <c r="AD95" s="19" t="s">
        <v>154</v>
      </c>
      <c r="AF95" s="2">
        <v>0</v>
      </c>
      <c r="AG95" s="2"/>
      <c r="AH95" s="2">
        <v>3044</v>
      </c>
      <c r="AI95" s="2"/>
      <c r="AJ95" s="2">
        <v>0</v>
      </c>
      <c r="AK95" s="2"/>
      <c r="AL95" s="2">
        <v>0</v>
      </c>
      <c r="AM95" s="2"/>
      <c r="AN95" s="2">
        <v>0</v>
      </c>
      <c r="AO95" s="2"/>
      <c r="AP95" s="2">
        <v>0</v>
      </c>
      <c r="AQ95" s="2"/>
      <c r="AR95" s="2">
        <v>592600</v>
      </c>
      <c r="AS95" s="2"/>
      <c r="AT95" s="2"/>
      <c r="AU95" s="2"/>
      <c r="AV95" s="2">
        <v>3870</v>
      </c>
      <c r="AW95" s="2"/>
      <c r="AX95" s="2">
        <v>200</v>
      </c>
      <c r="AY95" s="2"/>
      <c r="AZ95" s="2">
        <f t="shared" si="6"/>
        <v>8760778</v>
      </c>
      <c r="BA95" s="19" t="s">
        <v>210</v>
      </c>
      <c r="BC95" s="19" t="s">
        <v>154</v>
      </c>
      <c r="BD95" s="2"/>
      <c r="BE95" s="2"/>
      <c r="BF95" s="2">
        <v>0</v>
      </c>
      <c r="BG95" s="2"/>
      <c r="BH95" s="2">
        <v>0</v>
      </c>
      <c r="BI95" s="2"/>
      <c r="BJ95" s="2">
        <v>0</v>
      </c>
      <c r="BK95" s="2"/>
      <c r="BL95" s="2">
        <v>0</v>
      </c>
      <c r="BM95" s="2"/>
      <c r="BN95" s="2">
        <f t="shared" si="5"/>
        <v>8760778</v>
      </c>
      <c r="BO95" s="2"/>
      <c r="BP95" s="2">
        <f>GenRev!AW95-BN95</f>
        <v>-430976</v>
      </c>
      <c r="BQ95" s="2"/>
      <c r="BR95" s="2">
        <v>3442310</v>
      </c>
      <c r="BS95" s="2"/>
      <c r="BT95" s="2">
        <v>0</v>
      </c>
      <c r="BU95" s="2"/>
      <c r="BV95" s="2">
        <f t="shared" si="7"/>
        <v>0</v>
      </c>
      <c r="BW95" s="2"/>
      <c r="BX95" s="2">
        <f t="shared" si="8"/>
        <v>3011334</v>
      </c>
      <c r="BY95" s="2"/>
      <c r="BZ95" s="36">
        <f>+BX95-GenBS!AC94</f>
        <v>0</v>
      </c>
      <c r="CC95" s="2"/>
    </row>
    <row r="96" spans="1:81" s="19" customFormat="1" ht="12">
      <c r="A96" s="19" t="s">
        <v>211</v>
      </c>
      <c r="C96" s="19" t="s">
        <v>212</v>
      </c>
      <c r="E96" s="19">
        <v>48199</v>
      </c>
      <c r="G96" s="2">
        <v>33138</v>
      </c>
      <c r="H96" s="2"/>
      <c r="I96" s="2">
        <v>5793742</v>
      </c>
      <c r="J96" s="2"/>
      <c r="K96" s="2">
        <v>91643</v>
      </c>
      <c r="L96" s="2"/>
      <c r="M96" s="2">
        <v>0</v>
      </c>
      <c r="N96" s="2"/>
      <c r="O96" s="2">
        <v>4744717</v>
      </c>
      <c r="P96" s="2"/>
      <c r="Q96" s="2">
        <v>1081590</v>
      </c>
      <c r="R96" s="2"/>
      <c r="S96" s="2">
        <v>36246</v>
      </c>
      <c r="T96" s="2"/>
      <c r="U96" s="2">
        <v>1842258</v>
      </c>
      <c r="V96" s="2"/>
      <c r="W96" s="2">
        <v>553410</v>
      </c>
      <c r="X96" s="2"/>
      <c r="Y96" s="2">
        <v>93386</v>
      </c>
      <c r="Z96" s="2"/>
      <c r="AA96" s="2">
        <v>909524</v>
      </c>
      <c r="AB96" s="19" t="s">
        <v>211</v>
      </c>
      <c r="AD96" s="19" t="s">
        <v>212</v>
      </c>
      <c r="AF96" s="2">
        <v>18092</v>
      </c>
      <c r="AG96" s="2"/>
      <c r="AH96" s="2">
        <v>83819</v>
      </c>
      <c r="AI96" s="2"/>
      <c r="AJ96" s="2">
        <v>0</v>
      </c>
      <c r="AK96" s="2"/>
      <c r="AL96" s="2">
        <v>0</v>
      </c>
      <c r="AM96" s="2"/>
      <c r="AN96" s="2">
        <v>36742</v>
      </c>
      <c r="AO96" s="2"/>
      <c r="AP96" s="2">
        <v>0</v>
      </c>
      <c r="AQ96" s="2"/>
      <c r="AR96" s="2">
        <v>63105</v>
      </c>
      <c r="AS96" s="2"/>
      <c r="AT96" s="2"/>
      <c r="AU96" s="2"/>
      <c r="AV96" s="2">
        <v>0</v>
      </c>
      <c r="AW96" s="2"/>
      <c r="AX96" s="2">
        <v>0</v>
      </c>
      <c r="AY96" s="2"/>
      <c r="AZ96" s="2">
        <f t="shared" si="6"/>
        <v>15381412</v>
      </c>
      <c r="BA96" s="19" t="s">
        <v>211</v>
      </c>
      <c r="BC96" s="19" t="s">
        <v>212</v>
      </c>
      <c r="BD96" s="2"/>
      <c r="BE96" s="2"/>
      <c r="BF96" s="2">
        <v>0</v>
      </c>
      <c r="BG96" s="2"/>
      <c r="BH96" s="2">
        <v>0</v>
      </c>
      <c r="BI96" s="2"/>
      <c r="BJ96" s="2">
        <v>0</v>
      </c>
      <c r="BK96" s="2"/>
      <c r="BL96" s="2">
        <v>0</v>
      </c>
      <c r="BM96" s="2"/>
      <c r="BN96" s="2">
        <f t="shared" si="5"/>
        <v>15381412</v>
      </c>
      <c r="BO96" s="2"/>
      <c r="BP96" s="2">
        <f>GenRev!AW96-BN96</f>
        <v>621452</v>
      </c>
      <c r="BQ96" s="2"/>
      <c r="BR96" s="2">
        <v>2715268</v>
      </c>
      <c r="BS96" s="2"/>
      <c r="BT96" s="2">
        <v>0</v>
      </c>
      <c r="BU96" s="2"/>
      <c r="BV96" s="2">
        <f t="shared" si="7"/>
        <v>0</v>
      </c>
      <c r="BW96" s="2"/>
      <c r="BX96" s="2">
        <f t="shared" si="8"/>
        <v>3336720</v>
      </c>
      <c r="BY96" s="2"/>
      <c r="BZ96" s="36">
        <f>+BX96-GenBS!AC95</f>
        <v>0</v>
      </c>
      <c r="CC96" s="2"/>
    </row>
    <row r="97" spans="1:81" s="19" customFormat="1" ht="12">
      <c r="A97" s="19" t="s">
        <v>166</v>
      </c>
      <c r="C97" s="19" t="s">
        <v>167</v>
      </c>
      <c r="E97" s="19">
        <v>137364</v>
      </c>
      <c r="G97" s="2">
        <v>202548</v>
      </c>
      <c r="H97" s="2"/>
      <c r="I97" s="2">
        <v>2656602</v>
      </c>
      <c r="J97" s="2"/>
      <c r="K97" s="2">
        <v>0</v>
      </c>
      <c r="L97" s="2"/>
      <c r="M97" s="2">
        <v>0</v>
      </c>
      <c r="N97" s="2"/>
      <c r="O97" s="2">
        <v>2416210</v>
      </c>
      <c r="P97" s="2"/>
      <c r="Q97" s="2">
        <v>2422430</v>
      </c>
      <c r="R97" s="2"/>
      <c r="S97" s="2">
        <v>10227</v>
      </c>
      <c r="T97" s="2"/>
      <c r="U97" s="2">
        <v>1368588</v>
      </c>
      <c r="V97" s="2"/>
      <c r="W97" s="2">
        <v>320681</v>
      </c>
      <c r="X97" s="2"/>
      <c r="Y97" s="2">
        <v>6091</v>
      </c>
      <c r="Z97" s="2"/>
      <c r="AA97" s="2">
        <v>24284</v>
      </c>
      <c r="AB97" s="19" t="s">
        <v>166</v>
      </c>
      <c r="AD97" s="19" t="s">
        <v>167</v>
      </c>
      <c r="AF97" s="2">
        <v>7105</v>
      </c>
      <c r="AG97" s="2"/>
      <c r="AH97" s="2">
        <v>60834</v>
      </c>
      <c r="AI97" s="2"/>
      <c r="AJ97" s="2">
        <v>0</v>
      </c>
      <c r="AK97" s="2"/>
      <c r="AL97" s="2">
        <v>0</v>
      </c>
      <c r="AM97" s="2"/>
      <c r="AN97" s="2">
        <v>100</v>
      </c>
      <c r="AO97" s="2"/>
      <c r="AP97" s="2">
        <v>198</v>
      </c>
      <c r="AQ97" s="2"/>
      <c r="AR97" s="2">
        <v>108952</v>
      </c>
      <c r="AS97" s="2"/>
      <c r="AT97" s="2"/>
      <c r="AU97" s="2"/>
      <c r="AV97" s="2">
        <v>21182</v>
      </c>
      <c r="AW97" s="2"/>
      <c r="AX97" s="2">
        <v>4973</v>
      </c>
      <c r="AY97" s="2"/>
      <c r="AZ97" s="2">
        <f t="shared" si="6"/>
        <v>9631005</v>
      </c>
      <c r="BA97" s="19" t="s">
        <v>166</v>
      </c>
      <c r="BC97" s="19" t="s">
        <v>167</v>
      </c>
      <c r="BD97" s="2"/>
      <c r="BE97" s="2"/>
      <c r="BF97" s="2">
        <v>0</v>
      </c>
      <c r="BG97" s="2"/>
      <c r="BH97" s="2">
        <v>0</v>
      </c>
      <c r="BI97" s="2"/>
      <c r="BJ97" s="2">
        <v>0</v>
      </c>
      <c r="BK97" s="2"/>
      <c r="BL97" s="2">
        <v>0</v>
      </c>
      <c r="BM97" s="2"/>
      <c r="BN97" s="2">
        <f t="shared" si="5"/>
        <v>9631005</v>
      </c>
      <c r="BO97" s="2"/>
      <c r="BP97" s="2">
        <f>GenRev!AW97-BN97</f>
        <v>-51198</v>
      </c>
      <c r="BQ97" s="2"/>
      <c r="BR97" s="2">
        <v>346931</v>
      </c>
      <c r="BS97" s="2"/>
      <c r="BT97" s="2">
        <v>0</v>
      </c>
      <c r="BU97" s="2"/>
      <c r="BV97" s="2">
        <f t="shared" si="7"/>
        <v>0</v>
      </c>
      <c r="BW97" s="2"/>
      <c r="BX97" s="2">
        <f t="shared" si="8"/>
        <v>295733</v>
      </c>
      <c r="BY97" s="2"/>
      <c r="BZ97" s="36">
        <f>+BX97-GenBS!AC96</f>
        <v>0</v>
      </c>
      <c r="CC97" s="2"/>
    </row>
    <row r="98" spans="1:81" s="19" customFormat="1" ht="12">
      <c r="A98" s="19" t="s">
        <v>213</v>
      </c>
      <c r="C98" s="19" t="s">
        <v>214</v>
      </c>
      <c r="E98" s="19">
        <v>48280</v>
      </c>
      <c r="G98" s="2">
        <v>1721860</v>
      </c>
      <c r="H98" s="2"/>
      <c r="I98" s="2">
        <v>5109920</v>
      </c>
      <c r="J98" s="2"/>
      <c r="K98" s="2">
        <v>60922</v>
      </c>
      <c r="L98" s="2"/>
      <c r="M98" s="2">
        <v>0</v>
      </c>
      <c r="N98" s="2"/>
      <c r="O98" s="2">
        <v>4140617</v>
      </c>
      <c r="P98" s="2"/>
      <c r="Q98" s="2">
        <v>2452470</v>
      </c>
      <c r="R98" s="2"/>
      <c r="S98" s="2">
        <v>37480</v>
      </c>
      <c r="T98" s="2"/>
      <c r="U98" s="2">
        <v>804835</v>
      </c>
      <c r="V98" s="2"/>
      <c r="W98" s="2">
        <v>521621</v>
      </c>
      <c r="X98" s="2"/>
      <c r="Y98" s="2">
        <v>295749</v>
      </c>
      <c r="Z98" s="2"/>
      <c r="AA98" s="2">
        <v>265308</v>
      </c>
      <c r="AB98" s="19" t="s">
        <v>213</v>
      </c>
      <c r="AD98" s="19" t="s">
        <v>214</v>
      </c>
      <c r="AF98" s="2">
        <v>371</v>
      </c>
      <c r="AG98" s="2"/>
      <c r="AH98" s="2">
        <v>576039</v>
      </c>
      <c r="AI98" s="2"/>
      <c r="AJ98" s="2">
        <v>0</v>
      </c>
      <c r="AK98" s="2"/>
      <c r="AL98" s="2">
        <v>0</v>
      </c>
      <c r="AM98" s="2"/>
      <c r="AN98" s="2">
        <v>157199</v>
      </c>
      <c r="AO98" s="2"/>
      <c r="AP98" s="2">
        <v>0</v>
      </c>
      <c r="AQ98" s="2"/>
      <c r="AR98" s="2">
        <v>0</v>
      </c>
      <c r="AS98" s="2"/>
      <c r="AT98" s="2"/>
      <c r="AU98" s="2"/>
      <c r="AV98" s="2">
        <v>0</v>
      </c>
      <c r="AW98" s="2"/>
      <c r="AX98" s="2">
        <v>0</v>
      </c>
      <c r="AY98" s="2"/>
      <c r="AZ98" s="2">
        <f t="shared" si="6"/>
        <v>16144391</v>
      </c>
      <c r="BA98" s="19" t="s">
        <v>213</v>
      </c>
      <c r="BC98" s="19" t="s">
        <v>214</v>
      </c>
      <c r="BD98" s="2"/>
      <c r="BE98" s="2"/>
      <c r="BF98" s="2">
        <v>120000</v>
      </c>
      <c r="BG98" s="2"/>
      <c r="BH98" s="2">
        <v>0</v>
      </c>
      <c r="BI98" s="2"/>
      <c r="BJ98" s="2">
        <v>0</v>
      </c>
      <c r="BK98" s="2"/>
      <c r="BL98" s="2">
        <v>0</v>
      </c>
      <c r="BM98" s="2"/>
      <c r="BN98" s="2">
        <f t="shared" si="5"/>
        <v>16264391</v>
      </c>
      <c r="BO98" s="2"/>
      <c r="BP98" s="2">
        <f>GenRev!AW98-BN98</f>
        <v>114564</v>
      </c>
      <c r="BQ98" s="2"/>
      <c r="BR98" s="2">
        <v>2600995</v>
      </c>
      <c r="BS98" s="2"/>
      <c r="BT98" s="2">
        <v>0</v>
      </c>
      <c r="BU98" s="2"/>
      <c r="BV98" s="2">
        <f t="shared" si="7"/>
        <v>0</v>
      </c>
      <c r="BW98" s="2"/>
      <c r="BX98" s="2">
        <f t="shared" si="8"/>
        <v>2715559</v>
      </c>
      <c r="BY98" s="2"/>
      <c r="BZ98" s="36">
        <f>+BX98-GenBS!AC97</f>
        <v>0</v>
      </c>
      <c r="CC98" s="2"/>
    </row>
    <row r="99" spans="1:81" s="60" customFormat="1" ht="12">
      <c r="A99" s="60" t="s">
        <v>215</v>
      </c>
      <c r="C99" s="60" t="s">
        <v>216</v>
      </c>
      <c r="E99" s="60">
        <v>48454</v>
      </c>
      <c r="G99" s="2">
        <v>355609</v>
      </c>
      <c r="H99" s="2"/>
      <c r="I99" s="2">
        <v>449674</v>
      </c>
      <c r="J99" s="2"/>
      <c r="K99" s="2">
        <v>57912</v>
      </c>
      <c r="L99" s="2"/>
      <c r="M99" s="2">
        <v>0</v>
      </c>
      <c r="N99" s="2"/>
      <c r="O99" s="2">
        <v>573789</v>
      </c>
      <c r="P99" s="2"/>
      <c r="Q99" s="2">
        <v>2682610</v>
      </c>
      <c r="R99" s="2"/>
      <c r="S99" s="2">
        <v>55406</v>
      </c>
      <c r="T99" s="2"/>
      <c r="U99" s="2">
        <v>175660</v>
      </c>
      <c r="V99" s="2"/>
      <c r="W99" s="2">
        <v>254927</v>
      </c>
      <c r="X99" s="2"/>
      <c r="Y99" s="2">
        <v>254749</v>
      </c>
      <c r="Z99" s="2"/>
      <c r="AA99" s="2">
        <v>0</v>
      </c>
      <c r="AB99" s="60" t="s">
        <v>215</v>
      </c>
      <c r="AD99" s="60" t="s">
        <v>216</v>
      </c>
      <c r="AF99" s="2">
        <v>45</v>
      </c>
      <c r="AG99" s="2"/>
      <c r="AH99" s="2">
        <v>294465</v>
      </c>
      <c r="AI99" s="2"/>
      <c r="AJ99" s="2">
        <v>0</v>
      </c>
      <c r="AK99" s="13"/>
      <c r="AL99" s="2">
        <v>0</v>
      </c>
      <c r="AM99" s="2"/>
      <c r="AN99" s="2">
        <v>200</v>
      </c>
      <c r="AO99" s="2"/>
      <c r="AP99" s="2">
        <v>25405</v>
      </c>
      <c r="AQ99" s="2"/>
      <c r="AR99" s="2">
        <v>0</v>
      </c>
      <c r="AS99" s="2"/>
      <c r="AT99" s="2"/>
      <c r="AU99" s="2"/>
      <c r="AV99" s="2">
        <v>0</v>
      </c>
      <c r="AW99" s="2"/>
      <c r="AX99" s="2">
        <v>0</v>
      </c>
      <c r="AY99" s="2"/>
      <c r="AZ99" s="2">
        <f t="shared" si="6"/>
        <v>5180451</v>
      </c>
      <c r="BA99" s="60" t="s">
        <v>215</v>
      </c>
      <c r="BC99" s="60" t="s">
        <v>216</v>
      </c>
      <c r="BD99" s="2"/>
      <c r="BE99" s="2"/>
      <c r="BF99" s="2">
        <v>0</v>
      </c>
      <c r="BG99" s="2"/>
      <c r="BH99" s="2">
        <v>0</v>
      </c>
      <c r="BI99" s="2"/>
      <c r="BJ99" s="2">
        <v>0</v>
      </c>
      <c r="BK99" s="2"/>
      <c r="BL99" s="2">
        <v>0</v>
      </c>
      <c r="BM99" s="2"/>
      <c r="BN99" s="2">
        <f t="shared" si="5"/>
        <v>5180451</v>
      </c>
      <c r="BO99" s="2"/>
      <c r="BP99" s="2">
        <f>GenRev!AW99-BN99</f>
        <v>-26102</v>
      </c>
      <c r="BQ99" s="2"/>
      <c r="BR99" s="2">
        <v>1928436</v>
      </c>
      <c r="BS99" s="2"/>
      <c r="BT99" s="2">
        <v>0</v>
      </c>
      <c r="BU99" s="2"/>
      <c r="BV99" s="2">
        <f t="shared" si="7"/>
        <v>0</v>
      </c>
      <c r="BW99" s="2"/>
      <c r="BX99" s="2">
        <f t="shared" si="8"/>
        <v>1902334</v>
      </c>
      <c r="BY99" s="2"/>
      <c r="BZ99" s="36">
        <f>+BX99-GenBS!AC98</f>
        <v>0</v>
      </c>
      <c r="CC99" s="13"/>
    </row>
    <row r="100" spans="1:81" s="19" customFormat="1" ht="12" hidden="1">
      <c r="A100" s="13" t="s">
        <v>419</v>
      </c>
      <c r="C100" s="19" t="s">
        <v>218</v>
      </c>
      <c r="E100" s="19">
        <v>48546</v>
      </c>
      <c r="G100" s="2">
        <v>39707</v>
      </c>
      <c r="H100" s="2"/>
      <c r="I100" s="2">
        <v>2724175</v>
      </c>
      <c r="J100" s="2"/>
      <c r="K100" s="2"/>
      <c r="L100" s="2"/>
      <c r="M100" s="2"/>
      <c r="N100" s="2"/>
      <c r="O100" s="2">
        <v>1430689</v>
      </c>
      <c r="P100" s="2"/>
      <c r="Q100" s="2">
        <v>326778</v>
      </c>
      <c r="R100" s="2"/>
      <c r="S100" s="2">
        <v>75229</v>
      </c>
      <c r="T100" s="2"/>
      <c r="U100" s="2">
        <v>303576</v>
      </c>
      <c r="V100" s="2"/>
      <c r="W100" s="2">
        <v>96952</v>
      </c>
      <c r="X100" s="2"/>
      <c r="Y100" s="2">
        <v>9957</v>
      </c>
      <c r="Z100" s="2"/>
      <c r="AA100" s="2">
        <v>34775</v>
      </c>
      <c r="AB100" s="19" t="s">
        <v>217</v>
      </c>
      <c r="AD100" s="19" t="s">
        <v>218</v>
      </c>
      <c r="AF100" s="2">
        <v>143753</v>
      </c>
      <c r="AG100" s="2"/>
      <c r="AH100" s="2">
        <v>44902</v>
      </c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>
        <v>2946</v>
      </c>
      <c r="AW100" s="2"/>
      <c r="AX100" s="2">
        <v>133</v>
      </c>
      <c r="AY100" s="2"/>
      <c r="AZ100" s="2">
        <f t="shared" si="6"/>
        <v>5233572</v>
      </c>
      <c r="BA100" s="19" t="s">
        <v>217</v>
      </c>
      <c r="BC100" s="19" t="s">
        <v>218</v>
      </c>
      <c r="BD100" s="2"/>
      <c r="BE100" s="2"/>
      <c r="BF100" s="2"/>
      <c r="BG100" s="2"/>
      <c r="BH100" s="2">
        <v>22100</v>
      </c>
      <c r="BI100" s="2"/>
      <c r="BJ100" s="2">
        <v>0</v>
      </c>
      <c r="BK100" s="2"/>
      <c r="BL100" s="2">
        <v>-430</v>
      </c>
      <c r="BM100" s="2"/>
      <c r="BN100" s="2">
        <f t="shared" si="5"/>
        <v>5255242</v>
      </c>
      <c r="BO100" s="2"/>
      <c r="BP100" s="2">
        <f>GenRev!AW100-BN100</f>
        <v>124006</v>
      </c>
      <c r="BQ100" s="2"/>
      <c r="BR100" s="2">
        <v>1071591</v>
      </c>
      <c r="BS100" s="2"/>
      <c r="BT100" s="2">
        <v>0</v>
      </c>
      <c r="BU100" s="2"/>
      <c r="BV100" s="2">
        <f t="shared" si="7"/>
        <v>0</v>
      </c>
      <c r="BW100" s="2"/>
      <c r="BX100" s="2">
        <f t="shared" si="8"/>
        <v>1195597</v>
      </c>
      <c r="BY100" s="2"/>
      <c r="BZ100" s="36">
        <f>+BX100-GenBS!AC99</f>
        <v>0</v>
      </c>
      <c r="CB100" s="63" t="s">
        <v>373</v>
      </c>
      <c r="CC100" s="2"/>
    </row>
    <row r="101" spans="1:81" s="19" customFormat="1" ht="12">
      <c r="A101" s="19" t="s">
        <v>219</v>
      </c>
      <c r="C101" s="19" t="s">
        <v>220</v>
      </c>
      <c r="E101" s="19">
        <v>48603</v>
      </c>
      <c r="G101" s="2">
        <v>291001</v>
      </c>
      <c r="H101" s="2"/>
      <c r="I101" s="2">
        <v>3854098</v>
      </c>
      <c r="J101" s="2"/>
      <c r="K101" s="2">
        <v>0</v>
      </c>
      <c r="L101" s="2"/>
      <c r="M101" s="2">
        <v>0</v>
      </c>
      <c r="N101" s="2"/>
      <c r="O101" s="2">
        <v>2626686</v>
      </c>
      <c r="P101" s="2"/>
      <c r="Q101" s="2">
        <v>2268093</v>
      </c>
      <c r="R101" s="2"/>
      <c r="S101" s="2">
        <v>18631</v>
      </c>
      <c r="T101" s="2"/>
      <c r="U101" s="2">
        <v>1281519</v>
      </c>
      <c r="V101" s="2"/>
      <c r="W101" s="2">
        <v>181714</v>
      </c>
      <c r="X101" s="2"/>
      <c r="Y101" s="2">
        <v>0</v>
      </c>
      <c r="Z101" s="2"/>
      <c r="AA101" s="2">
        <v>67387</v>
      </c>
      <c r="AB101" s="19" t="s">
        <v>219</v>
      </c>
      <c r="AD101" s="19" t="s">
        <v>220</v>
      </c>
      <c r="AF101" s="2">
        <v>9802</v>
      </c>
      <c r="AG101" s="2"/>
      <c r="AH101" s="2">
        <v>433465</v>
      </c>
      <c r="AI101" s="2"/>
      <c r="AJ101" s="2">
        <v>0</v>
      </c>
      <c r="AK101" s="2"/>
      <c r="AL101" s="2">
        <v>0</v>
      </c>
      <c r="AM101" s="2"/>
      <c r="AN101" s="2">
        <v>1180</v>
      </c>
      <c r="AO101" s="2"/>
      <c r="AP101" s="2">
        <v>0</v>
      </c>
      <c r="AQ101" s="2"/>
      <c r="AR101" s="2">
        <v>0</v>
      </c>
      <c r="AS101" s="2"/>
      <c r="AT101" s="2"/>
      <c r="AU101" s="2"/>
      <c r="AV101" s="2">
        <v>7141</v>
      </c>
      <c r="AW101" s="2"/>
      <c r="AX101" s="2">
        <v>921</v>
      </c>
      <c r="AY101" s="2"/>
      <c r="AZ101" s="2">
        <f t="shared" si="6"/>
        <v>11041638</v>
      </c>
      <c r="BA101" s="19" t="s">
        <v>219</v>
      </c>
      <c r="BC101" s="19" t="s">
        <v>220</v>
      </c>
      <c r="BD101" s="2"/>
      <c r="BE101" s="2"/>
      <c r="BF101" s="2">
        <v>0</v>
      </c>
      <c r="BG101" s="2"/>
      <c r="BH101" s="2">
        <v>0</v>
      </c>
      <c r="BI101" s="2"/>
      <c r="BJ101" s="2">
        <v>0</v>
      </c>
      <c r="BK101" s="2"/>
      <c r="BL101" s="2">
        <v>0</v>
      </c>
      <c r="BM101" s="2"/>
      <c r="BN101" s="2">
        <f t="shared" si="5"/>
        <v>11041638</v>
      </c>
      <c r="BO101" s="2"/>
      <c r="BP101" s="2">
        <f>GenRev!AW101-BN101</f>
        <v>-12199</v>
      </c>
      <c r="BQ101" s="2"/>
      <c r="BR101" s="2">
        <v>1532692</v>
      </c>
      <c r="BS101" s="2"/>
      <c r="BT101" s="2">
        <v>0</v>
      </c>
      <c r="BU101" s="2"/>
      <c r="BV101" s="2">
        <f t="shared" si="7"/>
        <v>0</v>
      </c>
      <c r="BW101" s="2"/>
      <c r="BX101" s="2">
        <f t="shared" si="8"/>
        <v>1520493</v>
      </c>
      <c r="BY101" s="2"/>
      <c r="BZ101" s="36">
        <f>+BX101-GenBS!AC100</f>
        <v>0</v>
      </c>
      <c r="CC101" s="2"/>
    </row>
    <row r="102" spans="1:81" s="19" customFormat="1" ht="12" hidden="1">
      <c r="A102" s="2" t="s">
        <v>418</v>
      </c>
      <c r="B102" s="2"/>
      <c r="C102" s="2" t="s">
        <v>236</v>
      </c>
      <c r="G102" s="2">
        <v>180461</v>
      </c>
      <c r="H102" s="2"/>
      <c r="I102" s="2">
        <v>4123795</v>
      </c>
      <c r="J102" s="2"/>
      <c r="K102" s="2"/>
      <c r="L102" s="2"/>
      <c r="M102" s="2"/>
      <c r="N102" s="2"/>
      <c r="O102" s="2">
        <v>3389668</v>
      </c>
      <c r="P102" s="2"/>
      <c r="Q102" s="2">
        <v>4105666</v>
      </c>
      <c r="R102" s="2"/>
      <c r="S102" s="2">
        <v>88846</v>
      </c>
      <c r="T102" s="2"/>
      <c r="U102" s="2">
        <v>1353537</v>
      </c>
      <c r="V102" s="2"/>
      <c r="W102" s="2">
        <v>354686</v>
      </c>
      <c r="X102" s="2"/>
      <c r="Y102" s="2">
        <v>279540</v>
      </c>
      <c r="Z102" s="2"/>
      <c r="AA102" s="2">
        <v>533972</v>
      </c>
      <c r="AB102" s="2" t="s">
        <v>418</v>
      </c>
      <c r="AC102" s="2"/>
      <c r="AD102" s="2" t="s">
        <v>236</v>
      </c>
      <c r="AE102" s="2"/>
      <c r="AF102" s="2"/>
      <c r="AG102" s="2"/>
      <c r="AH102" s="2">
        <v>221269</v>
      </c>
      <c r="AI102" s="2"/>
      <c r="AJ102" s="2"/>
      <c r="AK102" s="2"/>
      <c r="AL102" s="2"/>
      <c r="AM102" s="2"/>
      <c r="AN102" s="2">
        <v>1326</v>
      </c>
      <c r="AO102" s="2"/>
      <c r="AP102" s="2"/>
      <c r="AQ102" s="2"/>
      <c r="AR102" s="2">
        <v>30615</v>
      </c>
      <c r="AS102" s="2"/>
      <c r="AT102" s="2"/>
      <c r="AU102" s="2"/>
      <c r="AV102" s="2">
        <v>95542</v>
      </c>
      <c r="AW102" s="2"/>
      <c r="AX102" s="2">
        <v>23286</v>
      </c>
      <c r="AY102" s="2"/>
      <c r="AZ102" s="2">
        <f t="shared" si="6"/>
        <v>14782209</v>
      </c>
      <c r="BA102" s="2" t="s">
        <v>418</v>
      </c>
      <c r="BB102" s="2"/>
      <c r="BC102" s="2" t="s">
        <v>236</v>
      </c>
      <c r="BD102" s="2"/>
      <c r="BE102" s="2"/>
      <c r="BF102" s="2">
        <v>27150</v>
      </c>
      <c r="BG102" s="2"/>
      <c r="BH102" s="2">
        <v>0</v>
      </c>
      <c r="BI102" s="2"/>
      <c r="BJ102" s="2">
        <v>0</v>
      </c>
      <c r="BK102" s="2"/>
      <c r="BL102" s="2">
        <v>0</v>
      </c>
      <c r="BM102" s="2"/>
      <c r="BN102" s="2">
        <f t="shared" si="5"/>
        <v>14809359</v>
      </c>
      <c r="BO102" s="2"/>
      <c r="BP102" s="2">
        <f>GenRev!AW102-BN102</f>
        <v>568250</v>
      </c>
      <c r="BQ102" s="2"/>
      <c r="BR102" s="2">
        <v>5170016</v>
      </c>
      <c r="BS102" s="2"/>
      <c r="BT102" s="2">
        <v>0</v>
      </c>
      <c r="BU102" s="2"/>
      <c r="BV102" s="2">
        <f>-BT102</f>
        <v>0</v>
      </c>
      <c r="BW102" s="2"/>
      <c r="BX102" s="2">
        <f>+BR102+BP102-BT102</f>
        <v>5738266</v>
      </c>
      <c r="BY102" s="2"/>
      <c r="BZ102" s="36">
        <f>+BX102-GenBS!AC101</f>
        <v>0</v>
      </c>
      <c r="CB102" s="63" t="s">
        <v>373</v>
      </c>
      <c r="CC102" s="2"/>
    </row>
    <row r="103" spans="1:81" s="19" customFormat="1" ht="12">
      <c r="A103" s="19" t="s">
        <v>221</v>
      </c>
      <c r="C103" s="19" t="s">
        <v>222</v>
      </c>
      <c r="E103" s="19">
        <v>48660</v>
      </c>
      <c r="G103" s="2">
        <v>0</v>
      </c>
      <c r="H103" s="2"/>
      <c r="I103" s="2">
        <v>6411466</v>
      </c>
      <c r="J103" s="2"/>
      <c r="K103" s="2">
        <v>0</v>
      </c>
      <c r="L103" s="2"/>
      <c r="M103" s="2">
        <v>0</v>
      </c>
      <c r="N103" s="2"/>
      <c r="O103" s="2">
        <v>7574288</v>
      </c>
      <c r="P103" s="2"/>
      <c r="Q103" s="2">
        <v>5686981</v>
      </c>
      <c r="R103" s="2"/>
      <c r="S103" s="2">
        <v>60667</v>
      </c>
      <c r="T103" s="2"/>
      <c r="U103" s="2">
        <v>1604211</v>
      </c>
      <c r="V103" s="2"/>
      <c r="W103" s="2">
        <v>408806</v>
      </c>
      <c r="X103" s="2"/>
      <c r="Y103" s="2">
        <v>0</v>
      </c>
      <c r="Z103" s="2"/>
      <c r="AA103" s="2">
        <v>1068046</v>
      </c>
      <c r="AB103" s="19" t="s">
        <v>221</v>
      </c>
      <c r="AD103" s="19" t="s">
        <v>222</v>
      </c>
      <c r="AF103" s="2">
        <v>0</v>
      </c>
      <c r="AG103" s="2"/>
      <c r="AH103" s="2">
        <v>974773</v>
      </c>
      <c r="AI103" s="2"/>
      <c r="AJ103" s="2">
        <v>0</v>
      </c>
      <c r="AK103" s="2"/>
      <c r="AL103" s="2">
        <v>0</v>
      </c>
      <c r="AM103" s="2"/>
      <c r="AN103" s="2">
        <v>36878</v>
      </c>
      <c r="AO103" s="2"/>
      <c r="AP103" s="2">
        <v>0</v>
      </c>
      <c r="AQ103" s="2"/>
      <c r="AR103" s="2">
        <v>184574</v>
      </c>
      <c r="AS103" s="2"/>
      <c r="AT103" s="2"/>
      <c r="AU103" s="2"/>
      <c r="AV103" s="2">
        <v>427705</v>
      </c>
      <c r="AW103" s="2"/>
      <c r="AX103" s="2">
        <v>41358</v>
      </c>
      <c r="AY103" s="2"/>
      <c r="AZ103" s="2">
        <f t="shared" si="6"/>
        <v>24479753</v>
      </c>
      <c r="BA103" s="19" t="s">
        <v>221</v>
      </c>
      <c r="BC103" s="19" t="s">
        <v>222</v>
      </c>
      <c r="BD103" s="2"/>
      <c r="BE103" s="2"/>
      <c r="BF103" s="2">
        <v>90699</v>
      </c>
      <c r="BG103" s="2"/>
      <c r="BH103" s="2">
        <v>0</v>
      </c>
      <c r="BI103" s="2"/>
      <c r="BJ103" s="2">
        <v>0</v>
      </c>
      <c r="BK103" s="2"/>
      <c r="BL103" s="2">
        <v>0</v>
      </c>
      <c r="BM103" s="2"/>
      <c r="BN103" s="2">
        <f t="shared" si="5"/>
        <v>24570452</v>
      </c>
      <c r="BO103" s="2"/>
      <c r="BP103" s="2">
        <f>GenRev!AW103-BN103</f>
        <v>1313884</v>
      </c>
      <c r="BQ103" s="2"/>
      <c r="BR103" s="2">
        <v>11364452</v>
      </c>
      <c r="BS103" s="2"/>
      <c r="BT103" s="2">
        <v>0</v>
      </c>
      <c r="BU103" s="2"/>
      <c r="BV103" s="2">
        <f t="shared" si="7"/>
        <v>0</v>
      </c>
      <c r="BW103" s="2"/>
      <c r="BX103" s="2">
        <f t="shared" si="8"/>
        <v>12678336</v>
      </c>
      <c r="BY103" s="2"/>
      <c r="BZ103" s="36">
        <f>+BX103-GenBS!AC102</f>
        <v>0</v>
      </c>
      <c r="CC103" s="2"/>
    </row>
    <row r="104" spans="1:81" s="19" customFormat="1" ht="12">
      <c r="A104" s="19" t="s">
        <v>223</v>
      </c>
      <c r="C104" s="19" t="s">
        <v>224</v>
      </c>
      <c r="E104" s="19">
        <v>125252</v>
      </c>
      <c r="G104" s="2">
        <v>3629453</v>
      </c>
      <c r="H104" s="2"/>
      <c r="I104" s="2">
        <v>0</v>
      </c>
      <c r="J104" s="2"/>
      <c r="K104" s="2">
        <v>0</v>
      </c>
      <c r="L104" s="2"/>
      <c r="M104" s="2">
        <v>0</v>
      </c>
      <c r="N104" s="2"/>
      <c r="O104" s="2">
        <v>1754486</v>
      </c>
      <c r="P104" s="2"/>
      <c r="Q104" s="2">
        <v>2465790</v>
      </c>
      <c r="R104" s="2"/>
      <c r="S104" s="2">
        <v>25115</v>
      </c>
      <c r="T104" s="2"/>
      <c r="U104" s="2">
        <v>544670</v>
      </c>
      <c r="V104" s="2"/>
      <c r="W104" s="2">
        <v>230001</v>
      </c>
      <c r="X104" s="2"/>
      <c r="Y104" s="2">
        <v>0</v>
      </c>
      <c r="Z104" s="2"/>
      <c r="AA104" s="2">
        <v>1441</v>
      </c>
      <c r="AB104" s="19" t="s">
        <v>223</v>
      </c>
      <c r="AD104" s="19" t="s">
        <v>224</v>
      </c>
      <c r="AF104" s="2">
        <v>14073</v>
      </c>
      <c r="AG104" s="2"/>
      <c r="AH104" s="2">
        <v>193182</v>
      </c>
      <c r="AI104" s="2"/>
      <c r="AJ104" s="2">
        <v>0</v>
      </c>
      <c r="AK104" s="2"/>
      <c r="AL104" s="2">
        <v>0</v>
      </c>
      <c r="AM104" s="2"/>
      <c r="AN104" s="2">
        <v>0</v>
      </c>
      <c r="AO104" s="2"/>
      <c r="AP104" s="2">
        <v>12163</v>
      </c>
      <c r="AQ104" s="2"/>
      <c r="AR104" s="2">
        <v>1414</v>
      </c>
      <c r="AS104" s="2"/>
      <c r="AT104" s="2"/>
      <c r="AU104" s="2"/>
      <c r="AV104" s="2">
        <v>0</v>
      </c>
      <c r="AW104" s="2"/>
      <c r="AX104" s="2">
        <v>0</v>
      </c>
      <c r="AY104" s="2"/>
      <c r="AZ104" s="2">
        <f t="shared" si="6"/>
        <v>8871788</v>
      </c>
      <c r="BA104" s="19" t="s">
        <v>223</v>
      </c>
      <c r="BC104" s="19" t="s">
        <v>224</v>
      </c>
      <c r="BD104" s="2"/>
      <c r="BE104" s="2"/>
      <c r="BF104" s="2">
        <v>0</v>
      </c>
      <c r="BG104" s="2"/>
      <c r="BH104" s="2">
        <v>0</v>
      </c>
      <c r="BI104" s="2"/>
      <c r="BJ104" s="2">
        <v>0</v>
      </c>
      <c r="BK104" s="2"/>
      <c r="BL104" s="2">
        <v>0</v>
      </c>
      <c r="BM104" s="2"/>
      <c r="BN104" s="2">
        <f t="shared" si="5"/>
        <v>8871788</v>
      </c>
      <c r="BO104" s="2"/>
      <c r="BP104" s="2">
        <f>GenRev!AW104-BN104</f>
        <v>206444</v>
      </c>
      <c r="BQ104" s="2"/>
      <c r="BR104" s="2">
        <v>2719739</v>
      </c>
      <c r="BS104" s="2"/>
      <c r="BT104" s="2">
        <v>0</v>
      </c>
      <c r="BU104" s="2"/>
      <c r="BV104" s="2">
        <f t="shared" si="7"/>
        <v>0</v>
      </c>
      <c r="BW104" s="2"/>
      <c r="BX104" s="2">
        <f t="shared" si="8"/>
        <v>2926183</v>
      </c>
      <c r="BY104" s="2"/>
      <c r="BZ104" s="36">
        <f>+BX104-GenBS!AC103</f>
        <v>0</v>
      </c>
      <c r="CB104" s="19" t="s">
        <v>420</v>
      </c>
      <c r="CC104" s="2"/>
    </row>
    <row r="105" spans="1:81" s="19" customFormat="1" ht="12">
      <c r="A105" s="19" t="s">
        <v>374</v>
      </c>
      <c r="C105" s="19" t="s">
        <v>244</v>
      </c>
      <c r="E105" s="19">
        <v>123257</v>
      </c>
      <c r="G105" s="2">
        <v>468496</v>
      </c>
      <c r="H105" s="2"/>
      <c r="I105" s="2">
        <v>5074122</v>
      </c>
      <c r="J105" s="2"/>
      <c r="K105" s="2">
        <v>0</v>
      </c>
      <c r="L105" s="2"/>
      <c r="M105" s="2">
        <v>0</v>
      </c>
      <c r="N105" s="2"/>
      <c r="O105" s="2">
        <v>3307070</v>
      </c>
      <c r="P105" s="2"/>
      <c r="Q105" s="2">
        <v>2072151</v>
      </c>
      <c r="R105" s="2"/>
      <c r="S105" s="2">
        <v>49627</v>
      </c>
      <c r="T105" s="2"/>
      <c r="U105" s="2">
        <v>1029858</v>
      </c>
      <c r="V105" s="2"/>
      <c r="W105" s="2">
        <v>502577</v>
      </c>
      <c r="X105" s="2"/>
      <c r="Y105" s="2">
        <v>98132</v>
      </c>
      <c r="Z105" s="2"/>
      <c r="AA105" s="2">
        <v>423558</v>
      </c>
      <c r="AB105" s="19" t="s">
        <v>243</v>
      </c>
      <c r="AD105" s="19" t="s">
        <v>244</v>
      </c>
      <c r="AF105" s="2">
        <v>74467</v>
      </c>
      <c r="AG105" s="2"/>
      <c r="AH105" s="2">
        <v>485221</v>
      </c>
      <c r="AI105" s="2"/>
      <c r="AJ105" s="2">
        <v>0</v>
      </c>
      <c r="AK105" s="2"/>
      <c r="AL105" s="2">
        <v>0</v>
      </c>
      <c r="AM105" s="2"/>
      <c r="AN105" s="2">
        <v>84591</v>
      </c>
      <c r="AO105" s="2"/>
      <c r="AP105" s="2">
        <v>0</v>
      </c>
      <c r="AQ105" s="2"/>
      <c r="AR105" s="2">
        <v>0</v>
      </c>
      <c r="AS105" s="2"/>
      <c r="AT105" s="2">
        <v>0</v>
      </c>
      <c r="AU105" s="2"/>
      <c r="AV105" s="2">
        <v>0</v>
      </c>
      <c r="AW105" s="2"/>
      <c r="AX105" s="2">
        <v>0</v>
      </c>
      <c r="AY105" s="2"/>
      <c r="AZ105" s="2">
        <f t="shared" si="6"/>
        <v>13669870</v>
      </c>
      <c r="BA105" s="19" t="s">
        <v>243</v>
      </c>
      <c r="BC105" s="19" t="s">
        <v>244</v>
      </c>
      <c r="BD105" s="2"/>
      <c r="BE105" s="2"/>
      <c r="BF105" s="2">
        <v>8648</v>
      </c>
      <c r="BG105" s="2"/>
      <c r="BH105" s="2">
        <v>0</v>
      </c>
      <c r="BI105" s="2"/>
      <c r="BJ105" s="2">
        <v>0</v>
      </c>
      <c r="BK105" s="2"/>
      <c r="BL105" s="2">
        <v>0</v>
      </c>
      <c r="BM105" s="2"/>
      <c r="BN105" s="2">
        <f t="shared" si="5"/>
        <v>13678518</v>
      </c>
      <c r="BO105" s="2"/>
      <c r="BP105" s="2">
        <f>GenRev!AW105-BN105</f>
        <v>546349</v>
      </c>
      <c r="BQ105" s="2"/>
      <c r="BR105" s="2">
        <v>-33890</v>
      </c>
      <c r="BS105" s="2"/>
      <c r="BT105" s="2">
        <v>0</v>
      </c>
      <c r="BU105" s="2"/>
      <c r="BV105" s="2">
        <f t="shared" si="7"/>
        <v>0</v>
      </c>
      <c r="BW105" s="2"/>
      <c r="BX105" s="2">
        <f t="shared" si="8"/>
        <v>512459</v>
      </c>
      <c r="BY105" s="2"/>
      <c r="BZ105" s="36">
        <f>+BX105-GenBS!AC104</f>
        <v>0</v>
      </c>
      <c r="CC105" s="2"/>
    </row>
    <row r="106" spans="1:81" s="19" customFormat="1" ht="12" hidden="1">
      <c r="A106" s="19" t="s">
        <v>413</v>
      </c>
      <c r="C106" s="19" t="s">
        <v>183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36"/>
      <c r="CC106" s="2"/>
    </row>
    <row r="107" spans="1:81" s="19" customFormat="1" ht="12" hidden="1">
      <c r="A107" s="19" t="s">
        <v>187</v>
      </c>
      <c r="C107" s="2" t="s">
        <v>275</v>
      </c>
      <c r="E107" s="19">
        <v>124297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9" t="s">
        <v>187</v>
      </c>
      <c r="AD107" s="2" t="s">
        <v>275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>
        <f t="shared" si="6"/>
        <v>0</v>
      </c>
      <c r="BA107" s="19" t="s">
        <v>187</v>
      </c>
      <c r="BC107" s="2" t="s">
        <v>275</v>
      </c>
      <c r="BD107" s="2"/>
      <c r="BE107" s="2"/>
      <c r="BF107" s="2"/>
      <c r="BG107" s="2"/>
      <c r="BH107" s="2">
        <v>0</v>
      </c>
      <c r="BI107" s="2"/>
      <c r="BJ107" s="2">
        <v>0</v>
      </c>
      <c r="BK107" s="2"/>
      <c r="BL107" s="2">
        <v>0</v>
      </c>
      <c r="BM107" s="2"/>
      <c r="BN107" s="2">
        <f t="shared" si="5"/>
        <v>0</v>
      </c>
      <c r="BO107" s="2"/>
      <c r="BP107" s="2">
        <f>GenRev!AW107-BN107</f>
        <v>0</v>
      </c>
      <c r="BQ107" s="2"/>
      <c r="BR107" s="2"/>
      <c r="BS107" s="2"/>
      <c r="BT107" s="2">
        <v>0</v>
      </c>
      <c r="BU107" s="2"/>
      <c r="BV107" s="2">
        <f t="shared" si="7"/>
        <v>0</v>
      </c>
      <c r="BW107" s="2"/>
      <c r="BX107" s="2">
        <f t="shared" si="8"/>
        <v>0</v>
      </c>
      <c r="BY107" s="2"/>
      <c r="BZ107" s="36">
        <f>+BX107-GenBS!AC106</f>
        <v>0</v>
      </c>
      <c r="CC107" s="2"/>
    </row>
    <row r="108" spans="1:81" s="19" customFormat="1" ht="12" hidden="1">
      <c r="A108" s="19" t="s">
        <v>355</v>
      </c>
      <c r="C108" s="2" t="s">
        <v>363</v>
      </c>
      <c r="E108" s="19">
        <v>123521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9" t="s">
        <v>235</v>
      </c>
      <c r="AD108" s="19" t="s">
        <v>236</v>
      </c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>
        <f t="shared" si="6"/>
        <v>0</v>
      </c>
      <c r="BA108" s="19" t="s">
        <v>235</v>
      </c>
      <c r="BC108" s="19" t="s">
        <v>236</v>
      </c>
      <c r="BD108" s="2"/>
      <c r="BE108" s="2"/>
      <c r="BF108" s="2"/>
      <c r="BG108" s="2"/>
      <c r="BH108" s="2">
        <v>0</v>
      </c>
      <c r="BI108" s="2"/>
      <c r="BJ108" s="2">
        <v>0</v>
      </c>
      <c r="BK108" s="2"/>
      <c r="BL108" s="2">
        <v>0</v>
      </c>
      <c r="BM108" s="2"/>
      <c r="BN108" s="2">
        <f t="shared" si="5"/>
        <v>0</v>
      </c>
      <c r="BO108" s="2"/>
      <c r="BP108" s="2">
        <f>GenRev!AW108-BN108</f>
        <v>0</v>
      </c>
      <c r="BQ108" s="2"/>
      <c r="BR108" s="2"/>
      <c r="BS108" s="2"/>
      <c r="BT108" s="2">
        <v>0</v>
      </c>
      <c r="BU108" s="2"/>
      <c r="BV108" s="2">
        <f t="shared" si="7"/>
        <v>0</v>
      </c>
      <c r="BW108" s="2"/>
      <c r="BX108" s="2">
        <f t="shared" si="8"/>
        <v>0</v>
      </c>
      <c r="BY108" s="2"/>
      <c r="BZ108" s="36">
        <f>+BX108-GenBS!AC107</f>
        <v>0</v>
      </c>
      <c r="CC108" s="2"/>
    </row>
    <row r="109" spans="1:81" s="19" customFormat="1" ht="12">
      <c r="A109" s="19" t="s">
        <v>225</v>
      </c>
      <c r="C109" s="19" t="s">
        <v>226</v>
      </c>
      <c r="E109" s="19">
        <v>125674</v>
      </c>
      <c r="G109" s="2">
        <v>571983</v>
      </c>
      <c r="H109" s="2"/>
      <c r="I109" s="2">
        <v>806779</v>
      </c>
      <c r="J109" s="2"/>
      <c r="K109" s="2">
        <v>0</v>
      </c>
      <c r="L109" s="2"/>
      <c r="M109" s="2">
        <v>0</v>
      </c>
      <c r="N109" s="2"/>
      <c r="O109" s="2">
        <v>785094</v>
      </c>
      <c r="P109" s="2"/>
      <c r="Q109" s="2">
        <v>1655400</v>
      </c>
      <c r="R109" s="2"/>
      <c r="S109" s="2">
        <v>43142</v>
      </c>
      <c r="T109" s="2"/>
      <c r="U109" s="2">
        <v>538297</v>
      </c>
      <c r="V109" s="2"/>
      <c r="W109" s="2">
        <v>183115</v>
      </c>
      <c r="X109" s="2"/>
      <c r="Y109" s="2">
        <v>0</v>
      </c>
      <c r="Z109" s="2"/>
      <c r="AA109" s="2">
        <v>85620</v>
      </c>
      <c r="AB109" s="19" t="s">
        <v>225</v>
      </c>
      <c r="AD109" s="19" t="s">
        <v>226</v>
      </c>
      <c r="AF109" s="2">
        <v>2130</v>
      </c>
      <c r="AG109" s="2"/>
      <c r="AH109" s="2">
        <v>113736</v>
      </c>
      <c r="AI109" s="2"/>
      <c r="AJ109" s="2">
        <v>0</v>
      </c>
      <c r="AK109" s="2"/>
      <c r="AL109" s="2">
        <v>0</v>
      </c>
      <c r="AM109" s="2"/>
      <c r="AN109" s="2">
        <v>0</v>
      </c>
      <c r="AO109" s="2"/>
      <c r="AP109" s="2">
        <v>0</v>
      </c>
      <c r="AQ109" s="2"/>
      <c r="AR109" s="2">
        <v>0</v>
      </c>
      <c r="AS109" s="2"/>
      <c r="AT109" s="2"/>
      <c r="AU109" s="2"/>
      <c r="AV109" s="2">
        <v>11246</v>
      </c>
      <c r="AW109" s="2"/>
      <c r="AX109" s="2">
        <v>4797</v>
      </c>
      <c r="AY109" s="2"/>
      <c r="AZ109" s="2">
        <f t="shared" si="6"/>
        <v>4801339</v>
      </c>
      <c r="BA109" s="19" t="s">
        <v>225</v>
      </c>
      <c r="BC109" s="19" t="s">
        <v>226</v>
      </c>
      <c r="BD109" s="2"/>
      <c r="BE109" s="2"/>
      <c r="BF109" s="2">
        <v>0</v>
      </c>
      <c r="BG109" s="2"/>
      <c r="BH109" s="2">
        <v>0</v>
      </c>
      <c r="BI109" s="2"/>
      <c r="BJ109" s="2">
        <v>0</v>
      </c>
      <c r="BK109" s="2"/>
      <c r="BL109" s="2">
        <v>0</v>
      </c>
      <c r="BM109" s="2"/>
      <c r="BN109" s="2">
        <f t="shared" si="5"/>
        <v>4801339</v>
      </c>
      <c r="BO109" s="2"/>
      <c r="BP109" s="2">
        <f>GenRev!AW109-BN109</f>
        <v>-175691</v>
      </c>
      <c r="BQ109" s="2"/>
      <c r="BR109" s="2">
        <v>-105494</v>
      </c>
      <c r="BS109" s="2"/>
      <c r="BT109" s="2">
        <v>0</v>
      </c>
      <c r="BU109" s="2"/>
      <c r="BV109" s="2">
        <f t="shared" si="7"/>
        <v>0</v>
      </c>
      <c r="BW109" s="2"/>
      <c r="BX109" s="2">
        <f t="shared" si="8"/>
        <v>-281185</v>
      </c>
      <c r="BY109" s="2"/>
      <c r="BZ109" s="36">
        <f>+BX109-GenBS!AC108</f>
        <v>0</v>
      </c>
      <c r="CB109" s="13"/>
      <c r="CC109" s="2"/>
    </row>
    <row r="110" spans="1:81" s="19" customFormat="1" ht="12">
      <c r="A110" s="19" t="s">
        <v>227</v>
      </c>
      <c r="C110" s="19" t="s">
        <v>228</v>
      </c>
      <c r="E110" s="19">
        <v>49072</v>
      </c>
      <c r="G110" s="2">
        <v>47512</v>
      </c>
      <c r="H110" s="2"/>
      <c r="I110" s="2">
        <v>132554</v>
      </c>
      <c r="J110" s="2"/>
      <c r="K110" s="2">
        <v>0</v>
      </c>
      <c r="L110" s="2"/>
      <c r="M110" s="2">
        <v>0</v>
      </c>
      <c r="N110" s="2"/>
      <c r="O110" s="2">
        <v>1624092</v>
      </c>
      <c r="P110" s="2"/>
      <c r="Q110" s="2">
        <v>438106</v>
      </c>
      <c r="R110" s="2"/>
      <c r="S110" s="2">
        <v>38905</v>
      </c>
      <c r="T110" s="2"/>
      <c r="U110" s="2">
        <v>266356</v>
      </c>
      <c r="V110" s="2"/>
      <c r="W110" s="2">
        <v>115436</v>
      </c>
      <c r="X110" s="2"/>
      <c r="Y110" s="2">
        <v>38155</v>
      </c>
      <c r="Z110" s="2"/>
      <c r="AA110" s="2">
        <v>60118</v>
      </c>
      <c r="AB110" s="19" t="s">
        <v>227</v>
      </c>
      <c r="AD110" s="19" t="s">
        <v>228</v>
      </c>
      <c r="AF110" s="2">
        <v>0</v>
      </c>
      <c r="AG110" s="2"/>
      <c r="AH110" s="2">
        <v>960</v>
      </c>
      <c r="AI110" s="2"/>
      <c r="AJ110" s="2">
        <v>0</v>
      </c>
      <c r="AK110" s="2"/>
      <c r="AL110" s="2">
        <v>0</v>
      </c>
      <c r="AM110" s="2"/>
      <c r="AN110" s="2">
        <v>0</v>
      </c>
      <c r="AO110" s="2"/>
      <c r="AP110" s="2">
        <v>0</v>
      </c>
      <c r="AQ110" s="2"/>
      <c r="AR110" s="2">
        <v>0</v>
      </c>
      <c r="AS110" s="2"/>
      <c r="AT110" s="2"/>
      <c r="AU110" s="2"/>
      <c r="AV110" s="2">
        <v>0</v>
      </c>
      <c r="AW110" s="2"/>
      <c r="AX110" s="2">
        <v>0</v>
      </c>
      <c r="AY110" s="2"/>
      <c r="AZ110" s="2">
        <f t="shared" si="6"/>
        <v>2762194</v>
      </c>
      <c r="BA110" s="19" t="s">
        <v>227</v>
      </c>
      <c r="BC110" s="19" t="s">
        <v>228</v>
      </c>
      <c r="BD110" s="2"/>
      <c r="BE110" s="2"/>
      <c r="BF110" s="2">
        <v>0</v>
      </c>
      <c r="BG110" s="2"/>
      <c r="BH110" s="2">
        <v>0</v>
      </c>
      <c r="BI110" s="2"/>
      <c r="BJ110" s="2">
        <v>0</v>
      </c>
      <c r="BK110" s="2"/>
      <c r="BL110" s="2">
        <v>0</v>
      </c>
      <c r="BM110" s="2"/>
      <c r="BN110" s="2">
        <f t="shared" si="5"/>
        <v>2762194</v>
      </c>
      <c r="BO110" s="2"/>
      <c r="BP110" s="2">
        <f>GenRev!AW110-BN110</f>
        <v>95339</v>
      </c>
      <c r="BQ110" s="2"/>
      <c r="BR110" s="2">
        <v>333439</v>
      </c>
      <c r="BS110" s="2"/>
      <c r="BT110" s="2">
        <v>0</v>
      </c>
      <c r="BU110" s="2"/>
      <c r="BV110" s="2">
        <f t="shared" si="7"/>
        <v>0</v>
      </c>
      <c r="BW110" s="2"/>
      <c r="BX110" s="2">
        <f t="shared" si="8"/>
        <v>428778</v>
      </c>
      <c r="BY110" s="2"/>
      <c r="BZ110" s="36">
        <f>+BX110-GenBS!AC109</f>
        <v>0</v>
      </c>
      <c r="CC110" s="2"/>
    </row>
    <row r="111" spans="1:81" s="19" customFormat="1" ht="12">
      <c r="A111" s="19" t="s">
        <v>229</v>
      </c>
      <c r="C111" s="19" t="s">
        <v>230</v>
      </c>
      <c r="E111" s="19">
        <v>49163</v>
      </c>
      <c r="G111" s="2">
        <v>59566</v>
      </c>
      <c r="H111" s="2"/>
      <c r="I111" s="2">
        <v>2010752</v>
      </c>
      <c r="J111" s="2"/>
      <c r="K111" s="2">
        <v>0</v>
      </c>
      <c r="L111" s="2"/>
      <c r="M111" s="2">
        <v>0</v>
      </c>
      <c r="N111" s="2"/>
      <c r="O111" s="2">
        <v>903905</v>
      </c>
      <c r="P111" s="2"/>
      <c r="Q111" s="2">
        <v>1966341</v>
      </c>
      <c r="R111" s="2"/>
      <c r="S111" s="2">
        <v>80076</v>
      </c>
      <c r="T111" s="2"/>
      <c r="U111" s="2">
        <v>651240</v>
      </c>
      <c r="V111" s="2"/>
      <c r="W111" s="2">
        <v>256274</v>
      </c>
      <c r="X111" s="2"/>
      <c r="Y111" s="2">
        <v>86709</v>
      </c>
      <c r="Z111" s="2"/>
      <c r="AA111" s="2">
        <v>73810</v>
      </c>
      <c r="AB111" s="19" t="s">
        <v>229</v>
      </c>
      <c r="AD111" s="19" t="s">
        <v>230</v>
      </c>
      <c r="AF111" s="2">
        <v>11848</v>
      </c>
      <c r="AG111" s="2"/>
      <c r="AH111" s="2">
        <v>5</v>
      </c>
      <c r="AI111" s="2"/>
      <c r="AJ111" s="2">
        <v>0</v>
      </c>
      <c r="AK111" s="2"/>
      <c r="AL111" s="2">
        <v>8316</v>
      </c>
      <c r="AM111" s="2"/>
      <c r="AN111" s="2">
        <v>0</v>
      </c>
      <c r="AO111" s="2"/>
      <c r="AP111" s="2">
        <v>9318</v>
      </c>
      <c r="AQ111" s="2"/>
      <c r="AR111" s="2">
        <v>0</v>
      </c>
      <c r="AS111" s="2"/>
      <c r="AT111" s="2"/>
      <c r="AU111" s="2"/>
      <c r="AV111" s="2">
        <v>9800</v>
      </c>
      <c r="AW111" s="2"/>
      <c r="AX111" s="2">
        <v>1250</v>
      </c>
      <c r="AY111" s="2"/>
      <c r="AZ111" s="2">
        <f t="shared" si="6"/>
        <v>6129210</v>
      </c>
      <c r="BA111" s="19" t="s">
        <v>229</v>
      </c>
      <c r="BC111" s="19" t="s">
        <v>230</v>
      </c>
      <c r="BD111" s="2"/>
      <c r="BE111" s="2"/>
      <c r="BF111" s="2">
        <v>0</v>
      </c>
      <c r="BG111" s="2"/>
      <c r="BH111" s="2">
        <v>0</v>
      </c>
      <c r="BI111" s="2"/>
      <c r="BJ111" s="2">
        <v>0</v>
      </c>
      <c r="BK111" s="2"/>
      <c r="BL111" s="2">
        <v>0</v>
      </c>
      <c r="BM111" s="2"/>
      <c r="BN111" s="2">
        <f t="shared" si="5"/>
        <v>6129210</v>
      </c>
      <c r="BO111" s="2"/>
      <c r="BP111" s="2">
        <f>GenRev!AW111-BN111</f>
        <v>128332</v>
      </c>
      <c r="BQ111" s="2"/>
      <c r="BR111" s="2">
        <v>393789</v>
      </c>
      <c r="BS111" s="2"/>
      <c r="BT111" s="2">
        <v>0</v>
      </c>
      <c r="BU111" s="2"/>
      <c r="BV111" s="2">
        <f t="shared" si="7"/>
        <v>0</v>
      </c>
      <c r="BW111" s="2"/>
      <c r="BX111" s="2">
        <f t="shared" si="8"/>
        <v>522121</v>
      </c>
      <c r="BY111" s="2"/>
      <c r="BZ111" s="36">
        <f>+BX111-GenBS!AC110</f>
        <v>0</v>
      </c>
      <c r="CC111" s="2"/>
    </row>
    <row r="112" spans="1:81" s="19" customFormat="1" ht="12" hidden="1">
      <c r="A112" s="19" t="s">
        <v>421</v>
      </c>
      <c r="C112" s="19" t="s">
        <v>232</v>
      </c>
      <c r="E112" s="19">
        <v>49254</v>
      </c>
      <c r="G112" s="2">
        <v>221897</v>
      </c>
      <c r="H112" s="2"/>
      <c r="I112" s="2">
        <v>1104161</v>
      </c>
      <c r="J112" s="2"/>
      <c r="K112" s="2"/>
      <c r="L112" s="2"/>
      <c r="M112" s="2"/>
      <c r="N112" s="2"/>
      <c r="O112" s="2">
        <v>1010652</v>
      </c>
      <c r="P112" s="2"/>
      <c r="Q112" s="2">
        <v>1000487</v>
      </c>
      <c r="R112" s="2"/>
      <c r="S112" s="2">
        <v>25246</v>
      </c>
      <c r="T112" s="2"/>
      <c r="U112" s="2">
        <v>383079</v>
      </c>
      <c r="V112" s="2"/>
      <c r="W112" s="2">
        <v>183144</v>
      </c>
      <c r="X112" s="2"/>
      <c r="Y112" s="2">
        <v>7005</v>
      </c>
      <c r="Z112" s="2"/>
      <c r="AA112" s="2">
        <v>107142</v>
      </c>
      <c r="AB112" s="19" t="s">
        <v>231</v>
      </c>
      <c r="AD112" s="19" t="s">
        <v>232</v>
      </c>
      <c r="AF112" s="2">
        <v>582243</v>
      </c>
      <c r="AG112" s="2"/>
      <c r="AH112" s="2">
        <v>12012</v>
      </c>
      <c r="AI112" s="2"/>
      <c r="AJ112" s="2"/>
      <c r="AK112" s="2"/>
      <c r="AL112" s="2"/>
      <c r="AM112" s="2"/>
      <c r="AN112" s="2">
        <v>6569</v>
      </c>
      <c r="AO112" s="2"/>
      <c r="AP112" s="2">
        <v>2928</v>
      </c>
      <c r="AQ112" s="2"/>
      <c r="AR112" s="2"/>
      <c r="AS112" s="2"/>
      <c r="AT112" s="2"/>
      <c r="AU112" s="2"/>
      <c r="AV112" s="2">
        <v>29000</v>
      </c>
      <c r="AW112" s="2"/>
      <c r="AX112" s="2">
        <v>68284</v>
      </c>
      <c r="AY112" s="2"/>
      <c r="AZ112" s="2">
        <f t="shared" si="6"/>
        <v>4743849</v>
      </c>
      <c r="BA112" s="19" t="s">
        <v>231</v>
      </c>
      <c r="BC112" s="19" t="s">
        <v>232</v>
      </c>
      <c r="BD112" s="2"/>
      <c r="BE112" s="2"/>
      <c r="BF112" s="2"/>
      <c r="BG112" s="2"/>
      <c r="BH112" s="2">
        <v>32132</v>
      </c>
      <c r="BI112" s="2"/>
      <c r="BJ112" s="2">
        <v>0</v>
      </c>
      <c r="BK112" s="2"/>
      <c r="BL112" s="2">
        <v>0</v>
      </c>
      <c r="BM112" s="2"/>
      <c r="BN112" s="2">
        <f t="shared" si="5"/>
        <v>4775981</v>
      </c>
      <c r="BO112" s="2"/>
      <c r="BP112" s="2">
        <f>GenRev!AW112-BN112</f>
        <v>-24220</v>
      </c>
      <c r="BQ112" s="2"/>
      <c r="BR112" s="2">
        <v>355936</v>
      </c>
      <c r="BS112" s="2"/>
      <c r="BT112" s="2">
        <v>0</v>
      </c>
      <c r="BU112" s="2"/>
      <c r="BV112" s="2">
        <f t="shared" si="7"/>
        <v>0</v>
      </c>
      <c r="BW112" s="2"/>
      <c r="BX112" s="2">
        <f t="shared" si="8"/>
        <v>331716</v>
      </c>
      <c r="BY112" s="2"/>
      <c r="BZ112" s="36">
        <f>+BX112-GenBS!AC111</f>
        <v>0</v>
      </c>
      <c r="CB112" s="19" t="s">
        <v>373</v>
      </c>
      <c r="CC112" s="2"/>
    </row>
    <row r="113" spans="1:81" s="19" customFormat="1" ht="12">
      <c r="A113" s="19" t="s">
        <v>233</v>
      </c>
      <c r="C113" s="19" t="s">
        <v>234</v>
      </c>
      <c r="E113" s="19">
        <v>49304</v>
      </c>
      <c r="G113" s="2">
        <v>124162</v>
      </c>
      <c r="H113" s="2"/>
      <c r="I113" s="2">
        <v>795538</v>
      </c>
      <c r="J113" s="2"/>
      <c r="K113" s="2">
        <v>0</v>
      </c>
      <c r="L113" s="2"/>
      <c r="M113" s="2">
        <v>608</v>
      </c>
      <c r="N113" s="2"/>
      <c r="O113" s="2">
        <v>628224</v>
      </c>
      <c r="P113" s="2"/>
      <c r="Q113" s="2">
        <v>886138</v>
      </c>
      <c r="R113" s="2"/>
      <c r="S113" s="2">
        <v>27149</v>
      </c>
      <c r="T113" s="2"/>
      <c r="U113" s="2">
        <v>137727</v>
      </c>
      <c r="V113" s="2"/>
      <c r="W113" s="2">
        <v>210793</v>
      </c>
      <c r="X113" s="2"/>
      <c r="Y113" s="2">
        <v>0</v>
      </c>
      <c r="Z113" s="2"/>
      <c r="AA113" s="2">
        <v>120613</v>
      </c>
      <c r="AB113" s="19" t="s">
        <v>233</v>
      </c>
      <c r="AD113" s="19" t="s">
        <v>234</v>
      </c>
      <c r="AF113" s="2">
        <v>0</v>
      </c>
      <c r="AG113" s="2"/>
      <c r="AH113" s="2">
        <v>2877</v>
      </c>
      <c r="AI113" s="2"/>
      <c r="AJ113" s="2">
        <v>0</v>
      </c>
      <c r="AK113" s="2"/>
      <c r="AL113" s="2">
        <v>45700</v>
      </c>
      <c r="AM113" s="2"/>
      <c r="AN113" s="2">
        <v>32589</v>
      </c>
      <c r="AO113" s="2"/>
      <c r="AP113" s="2">
        <v>0</v>
      </c>
      <c r="AQ113" s="2"/>
      <c r="AR113" s="2">
        <v>0</v>
      </c>
      <c r="AS113" s="2"/>
      <c r="AT113" s="2"/>
      <c r="AU113" s="2"/>
      <c r="AV113" s="2">
        <v>0</v>
      </c>
      <c r="AW113" s="2"/>
      <c r="AX113" s="2">
        <v>0</v>
      </c>
      <c r="AY113" s="2"/>
      <c r="AZ113" s="2">
        <f t="shared" si="6"/>
        <v>3012118</v>
      </c>
      <c r="BA113" s="19" t="s">
        <v>233</v>
      </c>
      <c r="BC113" s="19" t="s">
        <v>234</v>
      </c>
      <c r="BD113" s="2"/>
      <c r="BE113" s="2"/>
      <c r="BF113" s="2">
        <v>0</v>
      </c>
      <c r="BG113" s="2"/>
      <c r="BH113" s="2">
        <v>0</v>
      </c>
      <c r="BI113" s="2"/>
      <c r="BJ113" s="2">
        <v>0</v>
      </c>
      <c r="BK113" s="2"/>
      <c r="BL113" s="2">
        <v>0</v>
      </c>
      <c r="BM113" s="2"/>
      <c r="BN113" s="2">
        <f t="shared" si="5"/>
        <v>3012118</v>
      </c>
      <c r="BO113" s="2"/>
      <c r="BP113" s="2">
        <f>GenRev!AW113-BN113</f>
        <v>135173</v>
      </c>
      <c r="BQ113" s="2"/>
      <c r="BR113" s="2">
        <v>597718</v>
      </c>
      <c r="BS113" s="2"/>
      <c r="BT113" s="2">
        <v>0</v>
      </c>
      <c r="BU113" s="2"/>
      <c r="BV113" s="2">
        <f t="shared" si="7"/>
        <v>0</v>
      </c>
      <c r="BW113" s="2"/>
      <c r="BX113" s="2">
        <f t="shared" si="8"/>
        <v>732891</v>
      </c>
      <c r="BY113" s="2"/>
      <c r="BZ113" s="36">
        <f>+BX113-GenBS!AC112</f>
        <v>0</v>
      </c>
      <c r="CC113" s="2"/>
    </row>
    <row r="114" spans="1:81" s="19" customFormat="1" ht="12">
      <c r="A114" s="19" t="s">
        <v>237</v>
      </c>
      <c r="C114" s="19" t="s">
        <v>238</v>
      </c>
      <c r="E114" s="19">
        <v>138222</v>
      </c>
      <c r="G114" s="2">
        <v>8092</v>
      </c>
      <c r="H114" s="2"/>
      <c r="I114" s="2">
        <v>2793212</v>
      </c>
      <c r="J114" s="2"/>
      <c r="K114" s="2">
        <v>0</v>
      </c>
      <c r="L114" s="2"/>
      <c r="M114" s="2">
        <v>8409</v>
      </c>
      <c r="N114" s="2"/>
      <c r="O114" s="2">
        <v>1656114</v>
      </c>
      <c r="P114" s="2"/>
      <c r="Q114" s="2">
        <v>1580889</v>
      </c>
      <c r="R114" s="2"/>
      <c r="S114" s="2">
        <v>68455</v>
      </c>
      <c r="T114" s="2"/>
      <c r="U114" s="2">
        <v>320750</v>
      </c>
      <c r="V114" s="2"/>
      <c r="W114" s="2">
        <v>237210</v>
      </c>
      <c r="X114" s="2"/>
      <c r="Y114" s="2">
        <v>0</v>
      </c>
      <c r="Z114" s="2"/>
      <c r="AA114" s="2">
        <v>136496</v>
      </c>
      <c r="AB114" s="19" t="s">
        <v>237</v>
      </c>
      <c r="AD114" s="19" t="s">
        <v>238</v>
      </c>
      <c r="AF114" s="2">
        <v>0</v>
      </c>
      <c r="AG114" s="2"/>
      <c r="AH114" s="2">
        <v>64037</v>
      </c>
      <c r="AI114" s="2"/>
      <c r="AJ114" s="2">
        <v>0</v>
      </c>
      <c r="AK114" s="2"/>
      <c r="AL114" s="2">
        <v>0</v>
      </c>
      <c r="AM114" s="2"/>
      <c r="AN114" s="2">
        <v>138459</v>
      </c>
      <c r="AO114" s="2"/>
      <c r="AP114" s="2">
        <v>3245</v>
      </c>
      <c r="AQ114" s="2"/>
      <c r="AR114" s="2">
        <v>0</v>
      </c>
      <c r="AS114" s="2"/>
      <c r="AT114" s="2"/>
      <c r="AU114" s="2"/>
      <c r="AV114" s="2">
        <v>0</v>
      </c>
      <c r="AW114" s="2"/>
      <c r="AX114" s="2">
        <v>0</v>
      </c>
      <c r="AY114" s="2"/>
      <c r="AZ114" s="2">
        <f t="shared" si="6"/>
        <v>7015368</v>
      </c>
      <c r="BA114" s="19" t="s">
        <v>237</v>
      </c>
      <c r="BC114" s="19" t="s">
        <v>238</v>
      </c>
      <c r="BD114" s="2"/>
      <c r="BE114" s="2"/>
      <c r="BF114" s="2">
        <v>18185</v>
      </c>
      <c r="BG114" s="2"/>
      <c r="BH114" s="2">
        <v>0</v>
      </c>
      <c r="BI114" s="2"/>
      <c r="BJ114" s="2">
        <v>0</v>
      </c>
      <c r="BK114" s="2"/>
      <c r="BL114" s="2">
        <v>0</v>
      </c>
      <c r="BM114" s="2"/>
      <c r="BN114" s="2">
        <f t="shared" si="5"/>
        <v>7033553</v>
      </c>
      <c r="BO114" s="2"/>
      <c r="BP114" s="2">
        <f>GenRev!AW114-BN114</f>
        <v>-108746</v>
      </c>
      <c r="BQ114" s="2"/>
      <c r="BR114" s="2">
        <v>2931236</v>
      </c>
      <c r="BS114" s="2"/>
      <c r="BT114" s="2">
        <v>0</v>
      </c>
      <c r="BU114" s="2"/>
      <c r="BV114" s="2">
        <f t="shared" si="7"/>
        <v>0</v>
      </c>
      <c r="BW114" s="2"/>
      <c r="BX114" s="2">
        <f t="shared" si="8"/>
        <v>2822490</v>
      </c>
      <c r="BY114" s="2"/>
      <c r="BZ114" s="36">
        <f>+BX114-GenBS!AC113</f>
        <v>0</v>
      </c>
      <c r="CC114" s="2"/>
    </row>
    <row r="115" spans="1:81" s="60" customFormat="1" ht="11.25" hidden="1" customHeight="1">
      <c r="A115" s="71" t="s">
        <v>239</v>
      </c>
      <c r="C115" s="60" t="s">
        <v>240</v>
      </c>
      <c r="E115" s="60">
        <v>49551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60" t="s">
        <v>239</v>
      </c>
      <c r="AD115" s="60" t="s">
        <v>240</v>
      </c>
      <c r="AF115" s="2"/>
      <c r="AG115" s="2"/>
      <c r="AH115" s="2"/>
      <c r="AI115" s="2"/>
      <c r="AJ115" s="2"/>
      <c r="AK115" s="13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>
        <f t="shared" si="6"/>
        <v>0</v>
      </c>
      <c r="BA115" s="60" t="s">
        <v>239</v>
      </c>
      <c r="BC115" s="60" t="s">
        <v>240</v>
      </c>
      <c r="BD115" s="2"/>
      <c r="BE115" s="2"/>
      <c r="BF115" s="2"/>
      <c r="BG115" s="2"/>
      <c r="BH115" s="2">
        <v>0</v>
      </c>
      <c r="BI115" s="2"/>
      <c r="BJ115" s="2">
        <v>0</v>
      </c>
      <c r="BK115" s="2"/>
      <c r="BL115" s="2">
        <v>0</v>
      </c>
      <c r="BM115" s="2"/>
      <c r="BN115" s="2">
        <f t="shared" si="5"/>
        <v>0</v>
      </c>
      <c r="BO115" s="2"/>
      <c r="BP115" s="2">
        <f>GenRev!AW115-BN115</f>
        <v>0</v>
      </c>
      <c r="BQ115" s="2"/>
      <c r="BR115" s="2"/>
      <c r="BS115" s="2"/>
      <c r="BT115" s="2">
        <v>0</v>
      </c>
      <c r="BU115" s="2"/>
      <c r="BV115" s="2">
        <f t="shared" si="7"/>
        <v>0</v>
      </c>
      <c r="BW115" s="2"/>
      <c r="BX115" s="2">
        <f t="shared" si="8"/>
        <v>0</v>
      </c>
      <c r="BY115" s="2"/>
      <c r="BZ115" s="64">
        <f>+BX115-GenBS!AC114</f>
        <v>0</v>
      </c>
      <c r="CB115" s="17" t="s">
        <v>425</v>
      </c>
      <c r="CC115" s="13"/>
    </row>
    <row r="116" spans="1:81" s="60" customFormat="1" ht="12">
      <c r="A116" s="60" t="s">
        <v>245</v>
      </c>
      <c r="C116" s="60" t="s">
        <v>246</v>
      </c>
      <c r="E116" s="60">
        <v>49742</v>
      </c>
      <c r="G116" s="2">
        <v>26933</v>
      </c>
      <c r="H116" s="2"/>
      <c r="I116" s="2">
        <v>1349818</v>
      </c>
      <c r="J116" s="2"/>
      <c r="K116" s="2">
        <v>0</v>
      </c>
      <c r="L116" s="2"/>
      <c r="M116" s="2">
        <v>0</v>
      </c>
      <c r="N116" s="2"/>
      <c r="O116" s="2">
        <v>1048377</v>
      </c>
      <c r="P116" s="2"/>
      <c r="Q116" s="2">
        <v>592564</v>
      </c>
      <c r="R116" s="2"/>
      <c r="S116" s="2">
        <v>24556</v>
      </c>
      <c r="T116" s="2"/>
      <c r="U116" s="2">
        <v>287085</v>
      </c>
      <c r="V116" s="2"/>
      <c r="W116" s="2">
        <v>173570</v>
      </c>
      <c r="X116" s="2"/>
      <c r="Y116" s="2">
        <v>394</v>
      </c>
      <c r="Z116" s="2"/>
      <c r="AA116" s="2">
        <v>4738</v>
      </c>
      <c r="AB116" s="60" t="s">
        <v>245</v>
      </c>
      <c r="AD116" s="60" t="s">
        <v>246</v>
      </c>
      <c r="AF116" s="2">
        <v>1680</v>
      </c>
      <c r="AG116" s="2"/>
      <c r="AH116" s="2">
        <v>150085</v>
      </c>
      <c r="AI116" s="2"/>
      <c r="AJ116" s="2">
        <v>0</v>
      </c>
      <c r="AK116" s="13"/>
      <c r="AL116" s="2">
        <v>0</v>
      </c>
      <c r="AM116" s="2"/>
      <c r="AN116" s="2">
        <v>0</v>
      </c>
      <c r="AO116" s="2"/>
      <c r="AP116" s="2">
        <v>0</v>
      </c>
      <c r="AQ116" s="2"/>
      <c r="AR116" s="2">
        <v>0</v>
      </c>
      <c r="AS116" s="2"/>
      <c r="AT116" s="2"/>
      <c r="AU116" s="2"/>
      <c r="AV116" s="2">
        <v>9044</v>
      </c>
      <c r="AW116" s="2"/>
      <c r="AX116" s="2">
        <v>2635</v>
      </c>
      <c r="AY116" s="2"/>
      <c r="AZ116" s="2">
        <f t="shared" si="6"/>
        <v>3671479</v>
      </c>
      <c r="BA116" s="60" t="s">
        <v>245</v>
      </c>
      <c r="BC116" s="60" t="s">
        <v>246</v>
      </c>
      <c r="BD116" s="2"/>
      <c r="BE116" s="2"/>
      <c r="BF116" s="2">
        <v>0</v>
      </c>
      <c r="BG116" s="2"/>
      <c r="BH116" s="2">
        <v>0</v>
      </c>
      <c r="BI116" s="2"/>
      <c r="BJ116" s="2">
        <v>0</v>
      </c>
      <c r="BK116" s="2"/>
      <c r="BL116" s="2">
        <v>0</v>
      </c>
      <c r="BM116" s="2"/>
      <c r="BN116" s="2">
        <f t="shared" si="5"/>
        <v>3671479</v>
      </c>
      <c r="BO116" s="2"/>
      <c r="BP116" s="2">
        <f>GenRev!AW116-BN116</f>
        <v>-163257</v>
      </c>
      <c r="BQ116" s="2"/>
      <c r="BR116" s="2">
        <v>556345</v>
      </c>
      <c r="BS116" s="2"/>
      <c r="BT116" s="2">
        <v>0</v>
      </c>
      <c r="BU116" s="2"/>
      <c r="BV116" s="2">
        <f t="shared" si="7"/>
        <v>0</v>
      </c>
      <c r="BW116" s="2"/>
      <c r="BX116" s="2">
        <f t="shared" si="8"/>
        <v>393088</v>
      </c>
      <c r="BY116" s="2"/>
      <c r="BZ116" s="36">
        <f>+BX116-GenBS!AC115</f>
        <v>0</v>
      </c>
      <c r="CC116" s="13"/>
    </row>
    <row r="117" spans="1:81" s="60" customFormat="1" ht="12">
      <c r="A117" s="60" t="s">
        <v>371</v>
      </c>
      <c r="C117" s="60" t="s">
        <v>242</v>
      </c>
      <c r="E117" s="60">
        <v>125658</v>
      </c>
      <c r="G117" s="2">
        <v>400494</v>
      </c>
      <c r="H117" s="2"/>
      <c r="I117" s="2">
        <v>3233528</v>
      </c>
      <c r="J117" s="2"/>
      <c r="K117" s="2">
        <v>3698</v>
      </c>
      <c r="L117" s="2"/>
      <c r="M117" s="2">
        <v>0</v>
      </c>
      <c r="N117" s="2"/>
      <c r="O117" s="2">
        <v>1606843</v>
      </c>
      <c r="P117" s="2"/>
      <c r="Q117" s="2">
        <v>794133</v>
      </c>
      <c r="R117" s="2"/>
      <c r="S117" s="2">
        <v>33886</v>
      </c>
      <c r="T117" s="2"/>
      <c r="U117" s="2">
        <v>696229</v>
      </c>
      <c r="V117" s="2"/>
      <c r="W117" s="2">
        <v>181452</v>
      </c>
      <c r="X117" s="2"/>
      <c r="Y117" s="2">
        <v>0</v>
      </c>
      <c r="Z117" s="2"/>
      <c r="AA117" s="2">
        <v>107772</v>
      </c>
      <c r="AB117" s="60" t="s">
        <v>241</v>
      </c>
      <c r="AD117" s="60" t="s">
        <v>242</v>
      </c>
      <c r="AF117" s="2">
        <v>0</v>
      </c>
      <c r="AG117" s="2"/>
      <c r="AH117" s="2">
        <v>138681</v>
      </c>
      <c r="AI117" s="2"/>
      <c r="AJ117" s="2">
        <v>0</v>
      </c>
      <c r="AK117" s="13"/>
      <c r="AL117" s="2">
        <v>0</v>
      </c>
      <c r="AM117" s="2"/>
      <c r="AN117" s="2">
        <v>0</v>
      </c>
      <c r="AO117" s="2"/>
      <c r="AP117" s="2">
        <v>0</v>
      </c>
      <c r="AQ117" s="2"/>
      <c r="AR117" s="2">
        <v>0</v>
      </c>
      <c r="AS117" s="2"/>
      <c r="AT117" s="2"/>
      <c r="AU117" s="2"/>
      <c r="AV117" s="2">
        <v>38388</v>
      </c>
      <c r="AW117" s="2"/>
      <c r="AX117" s="2">
        <v>7875</v>
      </c>
      <c r="AY117" s="2"/>
      <c r="AZ117" s="2">
        <f t="shared" si="6"/>
        <v>7242979</v>
      </c>
      <c r="BA117" s="60" t="s">
        <v>241</v>
      </c>
      <c r="BC117" s="60" t="s">
        <v>242</v>
      </c>
      <c r="BD117" s="2"/>
      <c r="BE117" s="2"/>
      <c r="BF117" s="2">
        <v>0</v>
      </c>
      <c r="BG117" s="2"/>
      <c r="BH117" s="2">
        <v>0</v>
      </c>
      <c r="BI117" s="2"/>
      <c r="BJ117" s="2">
        <v>0</v>
      </c>
      <c r="BK117" s="2"/>
      <c r="BL117" s="2">
        <v>0</v>
      </c>
      <c r="BM117" s="2"/>
      <c r="BN117" s="2">
        <f t="shared" si="5"/>
        <v>7242979</v>
      </c>
      <c r="BO117" s="2"/>
      <c r="BP117" s="2">
        <f>GenRev!AW117-BN117</f>
        <v>309639</v>
      </c>
      <c r="BQ117" s="2"/>
      <c r="BR117" s="2">
        <v>167406</v>
      </c>
      <c r="BS117" s="2"/>
      <c r="BT117" s="2">
        <v>0</v>
      </c>
      <c r="BU117" s="2"/>
      <c r="BV117" s="2">
        <f t="shared" si="7"/>
        <v>0</v>
      </c>
      <c r="BW117" s="2"/>
      <c r="BX117" s="2">
        <f t="shared" si="8"/>
        <v>477045</v>
      </c>
      <c r="BY117" s="2"/>
      <c r="BZ117" s="36">
        <f>+BX117-GenBS!AC116</f>
        <v>0</v>
      </c>
      <c r="CC117" s="13"/>
    </row>
    <row r="118" spans="1:81" s="60" customFormat="1" ht="12">
      <c r="A118" s="2" t="s">
        <v>370</v>
      </c>
      <c r="B118" s="2"/>
      <c r="C118" s="2" t="s">
        <v>173</v>
      </c>
      <c r="G118" s="2">
        <v>338282</v>
      </c>
      <c r="H118" s="2"/>
      <c r="I118" s="2">
        <v>635001</v>
      </c>
      <c r="J118" s="2"/>
      <c r="K118" s="2">
        <v>0</v>
      </c>
      <c r="L118" s="2"/>
      <c r="M118" s="2">
        <v>0</v>
      </c>
      <c r="N118" s="2"/>
      <c r="O118" s="2">
        <v>377777</v>
      </c>
      <c r="P118" s="2"/>
      <c r="Q118" s="2">
        <v>1158744</v>
      </c>
      <c r="R118" s="2"/>
      <c r="S118" s="2">
        <v>27457</v>
      </c>
      <c r="T118" s="2"/>
      <c r="U118" s="2">
        <v>571410</v>
      </c>
      <c r="V118" s="2"/>
      <c r="W118" s="2">
        <v>220462</v>
      </c>
      <c r="X118" s="2"/>
      <c r="Y118" s="2">
        <v>0</v>
      </c>
      <c r="Z118" s="2"/>
      <c r="AA118" s="2">
        <v>56873</v>
      </c>
      <c r="AB118" s="2" t="s">
        <v>370</v>
      </c>
      <c r="AC118" s="2"/>
      <c r="AD118" s="2" t="s">
        <v>173</v>
      </c>
      <c r="AE118" s="2"/>
      <c r="AF118" s="2">
        <v>0</v>
      </c>
      <c r="AG118" s="2"/>
      <c r="AH118" s="2">
        <v>390318</v>
      </c>
      <c r="AI118" s="2"/>
      <c r="AJ118" s="2">
        <v>0</v>
      </c>
      <c r="AK118" s="13"/>
      <c r="AL118" s="2">
        <v>0</v>
      </c>
      <c r="AM118" s="2"/>
      <c r="AN118" s="2">
        <v>0</v>
      </c>
      <c r="AO118" s="2"/>
      <c r="AP118" s="2">
        <v>0</v>
      </c>
      <c r="AQ118" s="2"/>
      <c r="AR118" s="2">
        <v>0</v>
      </c>
      <c r="AS118" s="2"/>
      <c r="AT118" s="2"/>
      <c r="AU118" s="2"/>
      <c r="AV118" s="2">
        <v>0</v>
      </c>
      <c r="AW118" s="2"/>
      <c r="AX118" s="2">
        <v>0</v>
      </c>
      <c r="AY118" s="2"/>
      <c r="AZ118" s="2">
        <f t="shared" si="6"/>
        <v>3776324</v>
      </c>
      <c r="BA118" s="2" t="s">
        <v>370</v>
      </c>
      <c r="BB118" s="2"/>
      <c r="BC118" s="2" t="s">
        <v>173</v>
      </c>
      <c r="BD118" s="2"/>
      <c r="BE118" s="2"/>
      <c r="BF118" s="2">
        <v>0</v>
      </c>
      <c r="BG118" s="2"/>
      <c r="BH118" s="2">
        <v>0</v>
      </c>
      <c r="BI118" s="2"/>
      <c r="BJ118" s="2">
        <v>0</v>
      </c>
      <c r="BK118" s="2"/>
      <c r="BL118" s="2">
        <v>0</v>
      </c>
      <c r="BM118" s="2"/>
      <c r="BN118" s="2">
        <f t="shared" si="5"/>
        <v>3776324</v>
      </c>
      <c r="BO118" s="2"/>
      <c r="BP118" s="2">
        <f>GenRev!AW118-BN118</f>
        <v>75343</v>
      </c>
      <c r="BQ118" s="2"/>
      <c r="BR118" s="2">
        <v>2541036</v>
      </c>
      <c r="BS118" s="2"/>
      <c r="BT118" s="2">
        <v>0</v>
      </c>
      <c r="BU118" s="2"/>
      <c r="BV118" s="2">
        <f>-BT118</f>
        <v>0</v>
      </c>
      <c r="BW118" s="2"/>
      <c r="BX118" s="2">
        <f>+BR118+BP118-BT118</f>
        <v>2616379</v>
      </c>
      <c r="BY118" s="2"/>
      <c r="BZ118" s="36">
        <f>+BX118-GenBS!AC117</f>
        <v>0</v>
      </c>
      <c r="CB118" s="80" t="s">
        <v>411</v>
      </c>
      <c r="CC118" s="13"/>
    </row>
    <row r="119" spans="1:81" s="60" customFormat="1" ht="12">
      <c r="A119" s="19" t="s">
        <v>431</v>
      </c>
      <c r="C119" s="60" t="s">
        <v>248</v>
      </c>
      <c r="E119" s="60">
        <v>49825</v>
      </c>
      <c r="G119" s="2">
        <v>0</v>
      </c>
      <c r="H119" s="2"/>
      <c r="I119" s="2">
        <v>5827716</v>
      </c>
      <c r="J119" s="2"/>
      <c r="K119" s="2">
        <v>0</v>
      </c>
      <c r="L119" s="2"/>
      <c r="M119" s="2">
        <v>0</v>
      </c>
      <c r="N119" s="2"/>
      <c r="O119" s="2">
        <v>1129155</v>
      </c>
      <c r="P119" s="2"/>
      <c r="Q119" s="2">
        <v>4389974</v>
      </c>
      <c r="R119" s="2"/>
      <c r="S119" s="2">
        <v>15137</v>
      </c>
      <c r="T119" s="2"/>
      <c r="U119" s="2">
        <v>2611941</v>
      </c>
      <c r="V119" s="2"/>
      <c r="W119" s="2">
        <v>367642</v>
      </c>
      <c r="X119" s="2"/>
      <c r="Y119" s="2">
        <v>1095620</v>
      </c>
      <c r="Z119" s="2"/>
      <c r="AA119" s="2">
        <v>124037</v>
      </c>
      <c r="AB119" s="60" t="s">
        <v>247</v>
      </c>
      <c r="AD119" s="60" t="s">
        <v>248</v>
      </c>
      <c r="AF119" s="2">
        <v>12467</v>
      </c>
      <c r="AG119" s="2"/>
      <c r="AH119" s="2">
        <v>10781</v>
      </c>
      <c r="AI119" s="2"/>
      <c r="AJ119" s="2">
        <v>0</v>
      </c>
      <c r="AK119" s="13"/>
      <c r="AL119" s="2">
        <v>0</v>
      </c>
      <c r="AM119" s="2"/>
      <c r="AN119" s="2">
        <v>0</v>
      </c>
      <c r="AO119" s="2"/>
      <c r="AP119" s="2">
        <v>22099</v>
      </c>
      <c r="AQ119" s="2"/>
      <c r="AR119" s="2">
        <v>0</v>
      </c>
      <c r="AS119" s="2"/>
      <c r="AT119" s="2"/>
      <c r="AU119" s="2"/>
      <c r="AV119" s="2">
        <v>0</v>
      </c>
      <c r="AW119" s="2"/>
      <c r="AX119" s="2">
        <v>0</v>
      </c>
      <c r="AY119" s="2"/>
      <c r="AZ119" s="2">
        <f t="shared" si="6"/>
        <v>15606569</v>
      </c>
      <c r="BA119" s="60" t="s">
        <v>247</v>
      </c>
      <c r="BC119" s="60" t="s">
        <v>248</v>
      </c>
      <c r="BD119" s="2"/>
      <c r="BE119" s="2"/>
      <c r="BF119" s="2">
        <v>0</v>
      </c>
      <c r="BG119" s="2"/>
      <c r="BH119" s="2">
        <v>0</v>
      </c>
      <c r="BI119" s="2"/>
      <c r="BJ119" s="2">
        <v>0</v>
      </c>
      <c r="BK119" s="2"/>
      <c r="BL119" s="2">
        <v>0</v>
      </c>
      <c r="BM119" s="2"/>
      <c r="BN119" s="2">
        <f t="shared" si="5"/>
        <v>15606569</v>
      </c>
      <c r="BO119" s="2"/>
      <c r="BP119" s="2">
        <f>GenRev!AW119-BN119</f>
        <v>-87386</v>
      </c>
      <c r="BQ119" s="2"/>
      <c r="BR119" s="2">
        <v>381811</v>
      </c>
      <c r="BS119" s="2"/>
      <c r="BT119" s="2">
        <v>0</v>
      </c>
      <c r="BU119" s="2"/>
      <c r="BV119" s="2">
        <f t="shared" si="7"/>
        <v>0</v>
      </c>
      <c r="BW119" s="2"/>
      <c r="BX119" s="2">
        <f t="shared" si="8"/>
        <v>294425</v>
      </c>
      <c r="BY119" s="2"/>
      <c r="BZ119" s="36">
        <f>+BX119-GenBS!AC118</f>
        <v>0</v>
      </c>
      <c r="CB119" s="100" t="s">
        <v>424</v>
      </c>
      <c r="CC119" s="13"/>
    </row>
    <row r="120" spans="1:81" s="60" customFormat="1" ht="12">
      <c r="A120" s="60" t="s">
        <v>249</v>
      </c>
      <c r="C120" s="60" t="s">
        <v>250</v>
      </c>
      <c r="E120" s="60">
        <v>49965</v>
      </c>
      <c r="G120" s="2">
        <v>459105</v>
      </c>
      <c r="H120" s="2"/>
      <c r="I120" s="2">
        <v>3203409</v>
      </c>
      <c r="J120" s="2"/>
      <c r="K120" s="2">
        <v>65496</v>
      </c>
      <c r="L120" s="2"/>
      <c r="M120" s="2">
        <v>0</v>
      </c>
      <c r="N120" s="2"/>
      <c r="O120" s="2">
        <v>2850940</v>
      </c>
      <c r="P120" s="2"/>
      <c r="Q120" s="2">
        <v>2077111</v>
      </c>
      <c r="R120" s="2"/>
      <c r="S120" s="2">
        <v>60635</v>
      </c>
      <c r="T120" s="2"/>
      <c r="U120" s="2">
        <v>803519</v>
      </c>
      <c r="V120" s="2"/>
      <c r="W120" s="2">
        <v>281433</v>
      </c>
      <c r="X120" s="2"/>
      <c r="Y120" s="2">
        <v>39721</v>
      </c>
      <c r="Z120" s="2"/>
      <c r="AA120" s="2">
        <v>168466</v>
      </c>
      <c r="AB120" s="60" t="s">
        <v>249</v>
      </c>
      <c r="AD120" s="60" t="s">
        <v>250</v>
      </c>
      <c r="AF120" s="2">
        <v>0</v>
      </c>
      <c r="AG120" s="2"/>
      <c r="AH120" s="2">
        <v>208944</v>
      </c>
      <c r="AI120" s="2"/>
      <c r="AJ120" s="2">
        <v>0</v>
      </c>
      <c r="AK120" s="13"/>
      <c r="AL120" s="2">
        <v>0</v>
      </c>
      <c r="AM120" s="2"/>
      <c r="AN120" s="2">
        <v>0</v>
      </c>
      <c r="AO120" s="2"/>
      <c r="AP120" s="2">
        <v>43959</v>
      </c>
      <c r="AQ120" s="2"/>
      <c r="AR120" s="2">
        <v>0</v>
      </c>
      <c r="AS120" s="2"/>
      <c r="AT120" s="2"/>
      <c r="AU120" s="2"/>
      <c r="AV120" s="2">
        <v>71995</v>
      </c>
      <c r="AW120" s="2"/>
      <c r="AX120" s="2">
        <v>49229</v>
      </c>
      <c r="AY120" s="2"/>
      <c r="AZ120" s="2">
        <f t="shared" si="6"/>
        <v>10383962</v>
      </c>
      <c r="BA120" s="60" t="s">
        <v>249</v>
      </c>
      <c r="BC120" s="60" t="s">
        <v>250</v>
      </c>
      <c r="BD120" s="2"/>
      <c r="BE120" s="2"/>
      <c r="BF120" s="2">
        <v>0</v>
      </c>
      <c r="BG120" s="2"/>
      <c r="BH120" s="2">
        <v>0</v>
      </c>
      <c r="BI120" s="2"/>
      <c r="BJ120" s="2">
        <v>0</v>
      </c>
      <c r="BK120" s="2"/>
      <c r="BL120" s="2">
        <v>0</v>
      </c>
      <c r="BM120" s="2"/>
      <c r="BN120" s="2">
        <f t="shared" si="5"/>
        <v>10383962</v>
      </c>
      <c r="BO120" s="2"/>
      <c r="BP120" s="2">
        <f>GenRev!AW120-BN120</f>
        <v>-294397</v>
      </c>
      <c r="BQ120" s="2"/>
      <c r="BR120" s="2">
        <v>5431491</v>
      </c>
      <c r="BS120" s="2"/>
      <c r="BT120" s="2">
        <v>0</v>
      </c>
      <c r="BU120" s="2"/>
      <c r="BV120" s="2">
        <f t="shared" si="7"/>
        <v>0</v>
      </c>
      <c r="BW120" s="2"/>
      <c r="BX120" s="2">
        <f t="shared" si="8"/>
        <v>5137094</v>
      </c>
      <c r="BY120" s="2"/>
      <c r="BZ120" s="36">
        <f>+BX120-GenBS!AC119</f>
        <v>0</v>
      </c>
      <c r="CC120" s="13"/>
    </row>
    <row r="121" spans="1:81" s="60" customFormat="1" ht="12">
      <c r="A121" s="60" t="s">
        <v>261</v>
      </c>
      <c r="C121" s="60" t="s">
        <v>262</v>
      </c>
      <c r="E121" s="60">
        <v>50526</v>
      </c>
      <c r="G121" s="2">
        <v>939403</v>
      </c>
      <c r="H121" s="2"/>
      <c r="I121" s="2">
        <v>1372098</v>
      </c>
      <c r="J121" s="2"/>
      <c r="K121" s="2">
        <v>62701</v>
      </c>
      <c r="L121" s="2"/>
      <c r="M121" s="2">
        <v>0</v>
      </c>
      <c r="N121" s="2"/>
      <c r="O121" s="2">
        <v>2757113</v>
      </c>
      <c r="P121" s="2"/>
      <c r="Q121" s="2">
        <v>2384802</v>
      </c>
      <c r="R121" s="2"/>
      <c r="S121" s="2">
        <v>43337</v>
      </c>
      <c r="T121" s="2"/>
      <c r="U121" s="2">
        <v>406970</v>
      </c>
      <c r="V121" s="2"/>
      <c r="W121" s="2">
        <v>333590</v>
      </c>
      <c r="X121" s="2"/>
      <c r="Y121" s="2">
        <v>167666</v>
      </c>
      <c r="Z121" s="2"/>
      <c r="AA121" s="2">
        <v>183043</v>
      </c>
      <c r="AB121" s="60" t="s">
        <v>261</v>
      </c>
      <c r="AD121" s="60" t="s">
        <v>262</v>
      </c>
      <c r="AF121" s="2">
        <v>0</v>
      </c>
      <c r="AG121" s="2"/>
      <c r="AH121" s="2">
        <v>1212820</v>
      </c>
      <c r="AI121" s="2"/>
      <c r="AJ121" s="2">
        <v>0</v>
      </c>
      <c r="AK121" s="13"/>
      <c r="AL121" s="2">
        <v>0</v>
      </c>
      <c r="AM121" s="2"/>
      <c r="AN121" s="2">
        <v>3704530</v>
      </c>
      <c r="AO121" s="2"/>
      <c r="AP121" s="2">
        <v>0</v>
      </c>
      <c r="AQ121" s="2"/>
      <c r="AR121" s="2">
        <v>0</v>
      </c>
      <c r="AS121" s="2"/>
      <c r="AT121" s="2"/>
      <c r="AU121" s="2"/>
      <c r="AV121" s="2">
        <v>0</v>
      </c>
      <c r="AW121" s="2"/>
      <c r="AX121" s="2">
        <v>0</v>
      </c>
      <c r="AY121" s="2"/>
      <c r="AZ121" s="2">
        <f t="shared" si="6"/>
        <v>13568073</v>
      </c>
      <c r="BA121" s="60" t="s">
        <v>261</v>
      </c>
      <c r="BC121" s="60" t="s">
        <v>262</v>
      </c>
      <c r="BD121" s="2"/>
      <c r="BE121" s="2"/>
      <c r="BF121" s="2">
        <v>0</v>
      </c>
      <c r="BG121" s="2"/>
      <c r="BH121" s="2">
        <v>0</v>
      </c>
      <c r="BI121" s="2"/>
      <c r="BJ121" s="2">
        <v>0</v>
      </c>
      <c r="BK121" s="2"/>
      <c r="BL121" s="2">
        <v>0</v>
      </c>
      <c r="BM121" s="2"/>
      <c r="BN121" s="2">
        <f t="shared" si="5"/>
        <v>13568073</v>
      </c>
      <c r="BO121" s="2"/>
      <c r="BP121" s="2">
        <f>GenRev!AW121-BN121</f>
        <v>-312210</v>
      </c>
      <c r="BQ121" s="2"/>
      <c r="BR121" s="2">
        <v>2005683</v>
      </c>
      <c r="BS121" s="2"/>
      <c r="BT121" s="2">
        <v>0</v>
      </c>
      <c r="BU121" s="2"/>
      <c r="BV121" s="2">
        <f t="shared" si="7"/>
        <v>0</v>
      </c>
      <c r="BW121" s="2"/>
      <c r="BX121" s="2">
        <f t="shared" si="8"/>
        <v>1693473</v>
      </c>
      <c r="BY121" s="2"/>
      <c r="BZ121" s="36">
        <f>+BX121-GenBS!AC120</f>
        <v>0</v>
      </c>
      <c r="CC121" s="13"/>
    </row>
    <row r="122" spans="1:81" s="19" customFormat="1" ht="12">
      <c r="A122" s="19" t="s">
        <v>251</v>
      </c>
      <c r="C122" s="19" t="s">
        <v>252</v>
      </c>
      <c r="E122" s="19">
        <v>50088</v>
      </c>
      <c r="G122" s="2">
        <v>346588</v>
      </c>
      <c r="H122" s="2"/>
      <c r="I122" s="2">
        <v>5832364</v>
      </c>
      <c r="J122" s="2"/>
      <c r="K122" s="2">
        <v>0</v>
      </c>
      <c r="L122" s="2"/>
      <c r="M122" s="2">
        <v>0</v>
      </c>
      <c r="N122" s="2"/>
      <c r="O122" s="2">
        <v>4026383</v>
      </c>
      <c r="P122" s="2"/>
      <c r="Q122" s="2">
        <v>1872155</v>
      </c>
      <c r="R122" s="2"/>
      <c r="S122" s="2">
        <v>101643</v>
      </c>
      <c r="T122" s="2"/>
      <c r="U122" s="2">
        <v>2755601</v>
      </c>
      <c r="V122" s="2"/>
      <c r="W122" s="2">
        <v>311819</v>
      </c>
      <c r="X122" s="2"/>
      <c r="Y122" s="2">
        <v>37469</v>
      </c>
      <c r="Z122" s="2"/>
      <c r="AA122" s="2">
        <v>193396</v>
      </c>
      <c r="AB122" s="19" t="s">
        <v>251</v>
      </c>
      <c r="AD122" s="19" t="s">
        <v>252</v>
      </c>
      <c r="AF122" s="2">
        <v>28999</v>
      </c>
      <c r="AG122" s="2"/>
      <c r="AH122" s="2">
        <v>0</v>
      </c>
      <c r="AI122" s="2"/>
      <c r="AJ122" s="2">
        <v>0</v>
      </c>
      <c r="AK122" s="2"/>
      <c r="AL122" s="2">
        <v>0</v>
      </c>
      <c r="AM122" s="2"/>
      <c r="AN122" s="2">
        <v>198</v>
      </c>
      <c r="AO122" s="2"/>
      <c r="AP122" s="2">
        <v>0</v>
      </c>
      <c r="AQ122" s="2"/>
      <c r="AR122" s="2">
        <v>11716</v>
      </c>
      <c r="AS122" s="2"/>
      <c r="AT122" s="2"/>
      <c r="AU122" s="2"/>
      <c r="AV122" s="2">
        <v>0</v>
      </c>
      <c r="AW122" s="2"/>
      <c r="AX122" s="2">
        <v>0</v>
      </c>
      <c r="AY122" s="2"/>
      <c r="AZ122" s="2">
        <f t="shared" si="6"/>
        <v>15518331</v>
      </c>
      <c r="BA122" s="19" t="s">
        <v>251</v>
      </c>
      <c r="BC122" s="19" t="s">
        <v>252</v>
      </c>
      <c r="BD122" s="2"/>
      <c r="BE122" s="2"/>
      <c r="BF122" s="2">
        <v>0</v>
      </c>
      <c r="BG122" s="2"/>
      <c r="BH122" s="2">
        <v>0</v>
      </c>
      <c r="BI122" s="2"/>
      <c r="BJ122" s="2">
        <v>0</v>
      </c>
      <c r="BK122" s="2"/>
      <c r="BL122" s="2">
        <v>0</v>
      </c>
      <c r="BM122" s="2"/>
      <c r="BN122" s="2">
        <f t="shared" si="5"/>
        <v>15518331</v>
      </c>
      <c r="BO122" s="2"/>
      <c r="BP122" s="2">
        <f>GenRev!AW122-BN122</f>
        <v>624291</v>
      </c>
      <c r="BQ122" s="2"/>
      <c r="BR122" s="2">
        <v>3548906</v>
      </c>
      <c r="BS122" s="2"/>
      <c r="BT122" s="2">
        <v>0</v>
      </c>
      <c r="BU122" s="2"/>
      <c r="BV122" s="2">
        <f t="shared" si="7"/>
        <v>0</v>
      </c>
      <c r="BW122" s="2"/>
      <c r="BX122" s="2">
        <f t="shared" si="8"/>
        <v>4173197</v>
      </c>
      <c r="BY122" s="2"/>
      <c r="BZ122" s="36">
        <f>+BX122-GenBS!AC121</f>
        <v>0</v>
      </c>
      <c r="CC122" s="2"/>
    </row>
    <row r="123" spans="1:81" s="19" customFormat="1" ht="12">
      <c r="A123" s="2" t="s">
        <v>389</v>
      </c>
      <c r="C123" s="19" t="s">
        <v>254</v>
      </c>
      <c r="E123" s="19">
        <v>50260</v>
      </c>
      <c r="G123" s="2">
        <v>355219</v>
      </c>
      <c r="H123" s="2"/>
      <c r="I123" s="2">
        <v>824930</v>
      </c>
      <c r="J123" s="2"/>
      <c r="K123" s="2">
        <v>10</v>
      </c>
      <c r="L123" s="2"/>
      <c r="M123" s="2">
        <v>34992</v>
      </c>
      <c r="N123" s="2"/>
      <c r="O123" s="2">
        <v>1837680</v>
      </c>
      <c r="P123" s="2"/>
      <c r="Q123" s="2">
        <v>1960074</v>
      </c>
      <c r="R123" s="2"/>
      <c r="S123" s="2">
        <v>19319</v>
      </c>
      <c r="T123" s="2"/>
      <c r="U123" s="2">
        <v>256273</v>
      </c>
      <c r="V123" s="2"/>
      <c r="W123" s="2">
        <v>196724</v>
      </c>
      <c r="X123" s="2"/>
      <c r="Y123" s="2">
        <v>127242</v>
      </c>
      <c r="Z123" s="2"/>
      <c r="AA123" s="2">
        <v>173942</v>
      </c>
      <c r="AB123" s="19" t="s">
        <v>253</v>
      </c>
      <c r="AD123" s="19" t="s">
        <v>254</v>
      </c>
      <c r="AF123" s="2">
        <v>10158</v>
      </c>
      <c r="AG123" s="2"/>
      <c r="AH123" s="2">
        <v>225469</v>
      </c>
      <c r="AI123" s="2"/>
      <c r="AJ123" s="2">
        <v>0</v>
      </c>
      <c r="AK123" s="2"/>
      <c r="AL123" s="2">
        <v>0</v>
      </c>
      <c r="AM123" s="2"/>
      <c r="AN123" s="2">
        <v>0</v>
      </c>
      <c r="AO123" s="2"/>
      <c r="AP123" s="2">
        <v>0</v>
      </c>
      <c r="AQ123" s="2"/>
      <c r="AR123" s="2">
        <v>56897</v>
      </c>
      <c r="AS123" s="2"/>
      <c r="AT123" s="2"/>
      <c r="AU123" s="2"/>
      <c r="AV123" s="2">
        <v>48983</v>
      </c>
      <c r="AW123" s="2"/>
      <c r="AX123" s="2">
        <v>17217</v>
      </c>
      <c r="AY123" s="2"/>
      <c r="AZ123" s="2">
        <f t="shared" si="6"/>
        <v>6145129</v>
      </c>
      <c r="BA123" s="19" t="s">
        <v>253</v>
      </c>
      <c r="BC123" s="19" t="s">
        <v>254</v>
      </c>
      <c r="BD123" s="2"/>
      <c r="BE123" s="2"/>
      <c r="BF123" s="2">
        <v>0</v>
      </c>
      <c r="BG123" s="2"/>
      <c r="BH123" s="2">
        <v>0</v>
      </c>
      <c r="BI123" s="2"/>
      <c r="BJ123" s="2">
        <v>0</v>
      </c>
      <c r="BK123" s="2"/>
      <c r="BL123" s="2">
        <v>0</v>
      </c>
      <c r="BM123" s="2"/>
      <c r="BN123" s="2">
        <f t="shared" si="5"/>
        <v>6145129</v>
      </c>
      <c r="BO123" s="2"/>
      <c r="BP123" s="2">
        <f>GenRev!AW123-BN123</f>
        <v>180913</v>
      </c>
      <c r="BQ123" s="2"/>
      <c r="BR123" s="2">
        <v>624381</v>
      </c>
      <c r="BS123" s="2"/>
      <c r="BT123" s="2">
        <v>0</v>
      </c>
      <c r="BU123" s="2"/>
      <c r="BV123" s="2">
        <f t="shared" si="7"/>
        <v>0</v>
      </c>
      <c r="BW123" s="2"/>
      <c r="BX123" s="2">
        <f t="shared" si="8"/>
        <v>805294</v>
      </c>
      <c r="BY123" s="2"/>
      <c r="BZ123" s="36">
        <f>+BX123-GenBS!AC122</f>
        <v>0</v>
      </c>
      <c r="CC123" s="2"/>
    </row>
    <row r="124" spans="1:81" s="19" customFormat="1" ht="12" hidden="1">
      <c r="A124" s="19" t="s">
        <v>257</v>
      </c>
      <c r="C124" s="19" t="s">
        <v>258</v>
      </c>
      <c r="E124" s="19">
        <v>50401</v>
      </c>
      <c r="G124" s="2">
        <v>316511</v>
      </c>
      <c r="H124" s="2"/>
      <c r="I124" s="2">
        <v>4556247</v>
      </c>
      <c r="J124" s="2"/>
      <c r="K124" s="2"/>
      <c r="L124" s="2"/>
      <c r="M124" s="2">
        <v>20708</v>
      </c>
      <c r="N124" s="2"/>
      <c r="O124" s="2">
        <v>4895179</v>
      </c>
      <c r="P124" s="2"/>
      <c r="Q124" s="2">
        <v>171399</v>
      </c>
      <c r="R124" s="2"/>
      <c r="S124" s="2">
        <v>31271</v>
      </c>
      <c r="T124" s="2"/>
      <c r="U124" s="2">
        <v>1755138</v>
      </c>
      <c r="V124" s="2"/>
      <c r="W124" s="2">
        <v>455141</v>
      </c>
      <c r="X124" s="2"/>
      <c r="Y124" s="2">
        <v>79368</v>
      </c>
      <c r="Z124" s="2"/>
      <c r="AA124" s="2">
        <v>130063</v>
      </c>
      <c r="AB124" s="19" t="s">
        <v>257</v>
      </c>
      <c r="AD124" s="19" t="s">
        <v>258</v>
      </c>
      <c r="AF124" s="2">
        <v>31089</v>
      </c>
      <c r="AG124" s="2"/>
      <c r="AH124" s="2">
        <v>331106</v>
      </c>
      <c r="AI124" s="2"/>
      <c r="AJ124" s="2"/>
      <c r="AK124" s="2"/>
      <c r="AL124" s="2"/>
      <c r="AM124" s="2"/>
      <c r="AN124" s="2">
        <v>126</v>
      </c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>
        <f t="shared" si="6"/>
        <v>12773346</v>
      </c>
      <c r="BA124" s="19" t="s">
        <v>257</v>
      </c>
      <c r="BC124" s="19" t="s">
        <v>258</v>
      </c>
      <c r="BD124" s="2"/>
      <c r="BE124" s="2"/>
      <c r="BF124" s="2">
        <f>321993-510</f>
        <v>321483</v>
      </c>
      <c r="BG124" s="2"/>
      <c r="BH124" s="2">
        <v>78725</v>
      </c>
      <c r="BI124" s="2"/>
      <c r="BJ124" s="2">
        <v>0</v>
      </c>
      <c r="BK124" s="2"/>
      <c r="BL124" s="2">
        <v>0</v>
      </c>
      <c r="BM124" s="2"/>
      <c r="BN124" s="2">
        <f t="shared" si="5"/>
        <v>13173554</v>
      </c>
      <c r="BO124" s="2"/>
      <c r="BP124" s="2">
        <f>GenRev!AW124-BN124</f>
        <v>-119449</v>
      </c>
      <c r="BQ124" s="2"/>
      <c r="BR124" s="2">
        <v>2837435</v>
      </c>
      <c r="BS124" s="2"/>
      <c r="BT124" s="2">
        <v>0</v>
      </c>
      <c r="BU124" s="2"/>
      <c r="BV124" s="2">
        <f t="shared" si="7"/>
        <v>0</v>
      </c>
      <c r="BW124" s="2"/>
      <c r="BX124" s="2">
        <f t="shared" si="8"/>
        <v>2717986</v>
      </c>
      <c r="BY124" s="2"/>
      <c r="BZ124" s="36">
        <f>+BX124-GenBS!AC123</f>
        <v>0</v>
      </c>
      <c r="CB124" s="13" t="s">
        <v>373</v>
      </c>
      <c r="CC124" s="2"/>
    </row>
    <row r="125" spans="1:81" s="19" customFormat="1" ht="12" hidden="1">
      <c r="A125" s="71" t="s">
        <v>259</v>
      </c>
      <c r="C125" s="19" t="s">
        <v>260</v>
      </c>
      <c r="E125" s="19">
        <v>50476</v>
      </c>
      <c r="BO125" s="2"/>
      <c r="BP125" s="2">
        <f>GenRev!AW125-BN125</f>
        <v>0</v>
      </c>
      <c r="BQ125" s="2"/>
      <c r="BR125" s="2"/>
      <c r="BS125" s="2"/>
      <c r="BT125" s="2">
        <v>0</v>
      </c>
      <c r="BU125" s="2"/>
      <c r="BV125" s="2">
        <f t="shared" si="7"/>
        <v>0</v>
      </c>
      <c r="BW125" s="2"/>
      <c r="BX125" s="2">
        <f t="shared" si="8"/>
        <v>0</v>
      </c>
      <c r="BY125" s="2"/>
      <c r="BZ125" s="36">
        <f>+BX125-GenBS!AC124</f>
        <v>0</v>
      </c>
      <c r="CB125" s="60" t="s">
        <v>428</v>
      </c>
      <c r="CC125" s="2"/>
    </row>
    <row r="126" spans="1:81" s="19" customFormat="1" ht="12">
      <c r="A126" s="19" t="s">
        <v>255</v>
      </c>
      <c r="C126" s="19" t="s">
        <v>358</v>
      </c>
      <c r="E126" s="19">
        <v>134999</v>
      </c>
      <c r="G126" s="2">
        <v>229411</v>
      </c>
      <c r="H126" s="2"/>
      <c r="I126" s="2">
        <v>1798842</v>
      </c>
      <c r="J126" s="2"/>
      <c r="K126" s="2">
        <v>0</v>
      </c>
      <c r="L126" s="2"/>
      <c r="M126" s="2">
        <v>0</v>
      </c>
      <c r="N126" s="2"/>
      <c r="O126" s="2">
        <v>1054012</v>
      </c>
      <c r="P126" s="2"/>
      <c r="Q126" s="2">
        <v>455087</v>
      </c>
      <c r="R126" s="2"/>
      <c r="S126" s="2">
        <v>52902</v>
      </c>
      <c r="T126" s="2"/>
      <c r="U126" s="2">
        <v>416540</v>
      </c>
      <c r="V126" s="2"/>
      <c r="W126" s="2">
        <v>73701</v>
      </c>
      <c r="X126" s="2"/>
      <c r="Y126" s="2">
        <v>0</v>
      </c>
      <c r="Z126" s="2"/>
      <c r="AA126" s="2">
        <v>11795</v>
      </c>
      <c r="AB126" s="19" t="s">
        <v>255</v>
      </c>
      <c r="AD126" s="19" t="s">
        <v>358</v>
      </c>
      <c r="AF126" s="2">
        <v>0</v>
      </c>
      <c r="AG126" s="2"/>
      <c r="AH126" s="2">
        <v>12640</v>
      </c>
      <c r="AI126" s="2"/>
      <c r="AJ126" s="2">
        <v>0</v>
      </c>
      <c r="AK126" s="2"/>
      <c r="AL126" s="2">
        <v>0</v>
      </c>
      <c r="AM126" s="2"/>
      <c r="AN126" s="2">
        <v>2875</v>
      </c>
      <c r="AO126" s="2"/>
      <c r="AP126" s="2">
        <v>0</v>
      </c>
      <c r="AQ126" s="2"/>
      <c r="AR126" s="2">
        <v>0</v>
      </c>
      <c r="AS126" s="2"/>
      <c r="AT126" s="2"/>
      <c r="AU126" s="2"/>
      <c r="AV126" s="2">
        <v>0</v>
      </c>
      <c r="AW126" s="2"/>
      <c r="AX126" s="2">
        <v>0</v>
      </c>
      <c r="AY126" s="2"/>
      <c r="AZ126" s="2">
        <f>SUM(G126:AY126)</f>
        <v>4107805</v>
      </c>
      <c r="BA126" s="19" t="s">
        <v>255</v>
      </c>
      <c r="BC126" s="19" t="s">
        <v>358</v>
      </c>
      <c r="BD126" s="2"/>
      <c r="BE126" s="2"/>
      <c r="BF126" s="2">
        <v>0</v>
      </c>
      <c r="BG126" s="2"/>
      <c r="BH126" s="2">
        <v>0</v>
      </c>
      <c r="BI126" s="2"/>
      <c r="BJ126" s="2">
        <v>0</v>
      </c>
      <c r="BK126" s="2"/>
      <c r="BL126" s="2">
        <v>0</v>
      </c>
      <c r="BM126" s="2"/>
      <c r="BN126" s="2">
        <f>+BL126+BH126+BF126+AZ126</f>
        <v>4107805</v>
      </c>
      <c r="BO126" s="2"/>
      <c r="BP126" s="2">
        <f>GenRev!AW126-BN126</f>
        <v>2799</v>
      </c>
      <c r="BQ126" s="2"/>
      <c r="BR126" s="2">
        <v>541668</v>
      </c>
      <c r="BS126" s="2"/>
      <c r="BT126" s="2">
        <v>0</v>
      </c>
      <c r="BU126" s="2"/>
      <c r="BV126" s="2">
        <f t="shared" si="7"/>
        <v>0</v>
      </c>
      <c r="BW126" s="2"/>
      <c r="BX126" s="2">
        <f t="shared" si="8"/>
        <v>544467</v>
      </c>
      <c r="BY126" s="2"/>
      <c r="BZ126" s="36">
        <f>+BX126-GenBS!AC125</f>
        <v>0</v>
      </c>
      <c r="CB126" s="60"/>
      <c r="CC126" s="2"/>
    </row>
    <row r="127" spans="1:81" s="60" customFormat="1" ht="12">
      <c r="A127" s="60" t="s">
        <v>263</v>
      </c>
      <c r="C127" s="60" t="s">
        <v>264</v>
      </c>
      <c r="E127" s="60">
        <v>50666</v>
      </c>
      <c r="G127" s="2">
        <v>364427</v>
      </c>
      <c r="H127" s="2"/>
      <c r="I127" s="2">
        <v>5650481</v>
      </c>
      <c r="J127" s="2"/>
      <c r="K127" s="2">
        <v>62475</v>
      </c>
      <c r="L127" s="2"/>
      <c r="M127" s="2">
        <v>0</v>
      </c>
      <c r="N127" s="2"/>
      <c r="O127" s="2">
        <v>2077236</v>
      </c>
      <c r="P127" s="2"/>
      <c r="Q127" s="2">
        <v>3053913</v>
      </c>
      <c r="R127" s="2"/>
      <c r="S127" s="2">
        <v>51089</v>
      </c>
      <c r="T127" s="2"/>
      <c r="U127" s="2">
        <v>1400126</v>
      </c>
      <c r="V127" s="2"/>
      <c r="W127" s="2">
        <v>498291</v>
      </c>
      <c r="X127" s="2"/>
      <c r="Y127" s="2">
        <v>0</v>
      </c>
      <c r="Z127" s="2"/>
      <c r="AA127" s="2">
        <v>95416</v>
      </c>
      <c r="AB127" s="60" t="s">
        <v>263</v>
      </c>
      <c r="AD127" s="60" t="s">
        <v>264</v>
      </c>
      <c r="AF127" s="2">
        <v>53160</v>
      </c>
      <c r="AG127" s="2"/>
      <c r="AH127" s="2">
        <v>179310</v>
      </c>
      <c r="AI127" s="2"/>
      <c r="AJ127" s="2">
        <v>0</v>
      </c>
      <c r="AK127" s="13"/>
      <c r="AL127" s="2">
        <v>0</v>
      </c>
      <c r="AM127" s="2"/>
      <c r="AN127" s="2">
        <v>15422</v>
      </c>
      <c r="AO127" s="2"/>
      <c r="AP127" s="2">
        <v>0</v>
      </c>
      <c r="AQ127" s="2"/>
      <c r="AR127" s="2">
        <v>0</v>
      </c>
      <c r="AS127" s="2"/>
      <c r="AT127" s="2"/>
      <c r="AU127" s="2"/>
      <c r="AV127" s="2">
        <v>0</v>
      </c>
      <c r="AW127" s="2"/>
      <c r="AX127" s="2">
        <v>0</v>
      </c>
      <c r="AY127" s="2"/>
      <c r="AZ127" s="2">
        <f t="shared" si="6"/>
        <v>13501346</v>
      </c>
      <c r="BA127" s="60" t="s">
        <v>263</v>
      </c>
      <c r="BC127" s="60" t="s">
        <v>264</v>
      </c>
      <c r="BD127" s="2"/>
      <c r="BE127" s="2"/>
      <c r="BF127" s="2">
        <v>0</v>
      </c>
      <c r="BG127" s="2"/>
      <c r="BH127" s="2">
        <v>0</v>
      </c>
      <c r="BI127" s="2"/>
      <c r="BJ127" s="2">
        <v>0</v>
      </c>
      <c r="BK127" s="2"/>
      <c r="BL127" s="2">
        <v>0</v>
      </c>
      <c r="BM127" s="2"/>
      <c r="BN127" s="2">
        <f t="shared" si="5"/>
        <v>13501346</v>
      </c>
      <c r="BO127" s="2"/>
      <c r="BP127" s="2">
        <f>GenRev!AW127-BN127</f>
        <v>74095</v>
      </c>
      <c r="BQ127" s="2"/>
      <c r="BR127" s="2">
        <v>2948746</v>
      </c>
      <c r="BS127" s="2"/>
      <c r="BT127" s="2">
        <v>0</v>
      </c>
      <c r="BU127" s="2"/>
      <c r="BV127" s="2">
        <f t="shared" si="7"/>
        <v>0</v>
      </c>
      <c r="BW127" s="2"/>
      <c r="BX127" s="2">
        <f t="shared" si="8"/>
        <v>3022841</v>
      </c>
      <c r="BY127" s="2"/>
      <c r="BZ127" s="36">
        <f>+BX127-GenBS!AC126</f>
        <v>0</v>
      </c>
      <c r="CC127" s="13"/>
    </row>
    <row r="128" spans="1:81" s="19" customFormat="1" ht="12">
      <c r="CC128" s="2"/>
    </row>
    <row r="129" spans="7:76">
      <c r="AA129" s="57" t="s">
        <v>348</v>
      </c>
      <c r="AL129" s="57" t="s">
        <v>348</v>
      </c>
      <c r="AZ129" s="57" t="s">
        <v>348</v>
      </c>
    </row>
    <row r="133" spans="7:76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9"/>
      <c r="AC133" s="19"/>
      <c r="AD133" s="19"/>
      <c r="AE133" s="19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>
        <f>SUM(B133:AY133)</f>
        <v>0</v>
      </c>
      <c r="BA133" s="19"/>
      <c r="BB133" s="19"/>
      <c r="BC133" s="19"/>
      <c r="BD133" s="2"/>
      <c r="BE133" s="2"/>
      <c r="BF133" s="2"/>
      <c r="BG133" s="2"/>
      <c r="BH133" s="2">
        <v>0</v>
      </c>
      <c r="BI133" s="2"/>
      <c r="BJ133" s="2">
        <v>0</v>
      </c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>
        <f>-BT133</f>
        <v>0</v>
      </c>
      <c r="BW133" s="2"/>
      <c r="BX133" s="2"/>
    </row>
  </sheetData>
  <mergeCells count="2">
    <mergeCell ref="O7:AA7"/>
    <mergeCell ref="A65:K65"/>
  </mergeCells>
  <phoneticPr fontId="3" type="noConversion"/>
  <pageMargins left="0.7" right="0.7" top="0.5" bottom="0.5" header="0" footer="0.25"/>
  <pageSetup scale="80" firstPageNumber="38" fitToWidth="4" fitToHeight="2" pageOrder="overThenDown" orientation="portrait" useFirstPageNumber="1" horizontalDpi="1200" verticalDpi="1200" r:id="rId1"/>
  <headerFooter alignWithMargins="0">
    <oddFooter>&amp;C&amp;"Times New Roman,Regular"&amp;12&amp;P</oddFooter>
  </headerFooter>
  <rowBreaks count="1" manualBreakCount="1">
    <brk id="65" max="72" man="1"/>
  </rowBreaks>
  <colBreaks count="6" manualBreakCount="6">
    <brk id="13" max="1048575" man="1"/>
    <brk id="27" max="1048575" man="1"/>
    <brk id="38" max="1048575" man="1"/>
    <brk id="52" max="1048575" man="1"/>
    <brk id="68" max="1048575" man="1"/>
    <brk id="7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O133"/>
  <sheetViews>
    <sheetView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H7" sqref="H7"/>
    </sheetView>
  </sheetViews>
  <sheetFormatPr defaultRowHeight="12.75"/>
  <cols>
    <col min="1" max="1" width="40.7109375" customWidth="1"/>
    <col min="2" max="2" width="1.7109375" customWidth="1"/>
    <col min="3" max="3" width="10.5703125" customWidth="1"/>
    <col min="4" max="4" width="1.7109375" hidden="1" customWidth="1"/>
    <col min="5" max="5" width="11.7109375" hidden="1" customWidth="1"/>
    <col min="6" max="6" width="1.7109375" customWidth="1"/>
    <col min="7" max="7" width="11.7109375" customWidth="1"/>
    <col min="8" max="8" width="1.7109375" customWidth="1"/>
    <col min="9" max="9" width="10.855468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hidden="1" customWidth="1"/>
    <col min="22" max="22" width="1.7109375" hidden="1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1.7109375" customWidth="1"/>
    <col min="29" max="29" width="11.7109375" customWidth="1"/>
    <col min="30" max="30" width="1.7109375" customWidth="1"/>
    <col min="31" max="31" width="11.7109375" customWidth="1"/>
    <col min="32" max="32" width="1.7109375" customWidth="1"/>
  </cols>
  <sheetData>
    <row r="1" spans="1:40" s="2" customFormat="1" ht="12">
      <c r="A1" s="28" t="s">
        <v>134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40" s="2" customFormat="1" ht="12">
      <c r="A2" s="28" t="s">
        <v>390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0" s="2" customFormat="1" ht="12">
      <c r="A3" s="28" t="s">
        <v>348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40" s="2" customFormat="1" ht="12">
      <c r="A4" s="18" t="s">
        <v>349</v>
      </c>
      <c r="B4" s="3"/>
      <c r="C4" s="3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40" s="2" customFormat="1" ht="12">
      <c r="A5" s="1"/>
      <c r="B5" s="3"/>
      <c r="C5" s="3"/>
      <c r="D5" s="3"/>
      <c r="E5" s="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40" s="2" customFormat="1" ht="12">
      <c r="A6" s="114"/>
      <c r="B6" s="3"/>
      <c r="C6" s="3"/>
      <c r="D6" s="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40" s="7" customFormat="1" ht="12">
      <c r="A7" s="83"/>
      <c r="B7" s="25"/>
      <c r="C7" s="25"/>
      <c r="D7" s="25"/>
      <c r="E7" s="2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40</v>
      </c>
      <c r="V7" s="8"/>
      <c r="W7" s="8"/>
      <c r="X7" s="8"/>
      <c r="Y7" s="8" t="s">
        <v>320</v>
      </c>
      <c r="Z7" s="8"/>
      <c r="AA7" s="8" t="s">
        <v>320</v>
      </c>
      <c r="AB7" s="8"/>
      <c r="AC7" s="8" t="s">
        <v>9</v>
      </c>
      <c r="AE7" s="7" t="s">
        <v>5</v>
      </c>
    </row>
    <row r="8" spans="1:40" s="7" customFormat="1" ht="12">
      <c r="A8" s="8"/>
      <c r="B8" s="8"/>
      <c r="C8" s="8"/>
      <c r="D8" s="8"/>
      <c r="E8" s="8"/>
      <c r="F8" s="8"/>
      <c r="G8" s="8" t="s">
        <v>97</v>
      </c>
      <c r="H8" s="8"/>
      <c r="I8" s="8" t="s">
        <v>20</v>
      </c>
      <c r="J8" s="8"/>
      <c r="K8" s="8" t="s">
        <v>89</v>
      </c>
      <c r="L8" s="8"/>
      <c r="M8" s="8" t="s">
        <v>9</v>
      </c>
      <c r="N8" s="8"/>
      <c r="O8" s="8"/>
      <c r="P8" s="8"/>
      <c r="Q8" s="8" t="s">
        <v>8</v>
      </c>
      <c r="R8" s="8"/>
      <c r="S8" s="8" t="s">
        <v>9</v>
      </c>
      <c r="T8" s="8"/>
      <c r="U8" s="8" t="s">
        <v>309</v>
      </c>
      <c r="V8" s="8"/>
      <c r="W8" s="8" t="s">
        <v>98</v>
      </c>
      <c r="X8" s="8"/>
      <c r="Y8" s="8" t="s">
        <v>317</v>
      </c>
      <c r="Z8" s="8"/>
      <c r="AA8" s="8" t="s">
        <v>350</v>
      </c>
      <c r="AB8" s="8"/>
      <c r="AC8" s="8" t="s">
        <v>99</v>
      </c>
      <c r="AE8" s="7" t="s">
        <v>100</v>
      </c>
    </row>
    <row r="9" spans="1:40" s="8" customFormat="1" ht="12">
      <c r="A9" s="105" t="s">
        <v>434</v>
      </c>
      <c r="B9" s="7"/>
      <c r="C9" s="4" t="s">
        <v>13</v>
      </c>
      <c r="D9" s="7"/>
      <c r="E9" s="4" t="s">
        <v>14</v>
      </c>
      <c r="F9" s="12"/>
      <c r="G9" s="11" t="s">
        <v>15</v>
      </c>
      <c r="H9" s="12"/>
      <c r="I9" s="11" t="s">
        <v>2</v>
      </c>
      <c r="J9" s="12"/>
      <c r="K9" s="11" t="s">
        <v>2</v>
      </c>
      <c r="L9" s="12"/>
      <c r="M9" s="11" t="s">
        <v>2</v>
      </c>
      <c r="N9" s="12"/>
      <c r="O9" s="11" t="s">
        <v>16</v>
      </c>
      <c r="P9" s="12"/>
      <c r="Q9" s="11" t="s">
        <v>101</v>
      </c>
      <c r="R9" s="12"/>
      <c r="S9" s="11" t="s">
        <v>16</v>
      </c>
      <c r="T9" s="12"/>
      <c r="U9" s="12" t="s">
        <v>311</v>
      </c>
      <c r="V9" s="12"/>
      <c r="W9" s="11" t="s">
        <v>102</v>
      </c>
      <c r="X9" s="12"/>
      <c r="Y9" s="11" t="s">
        <v>102</v>
      </c>
      <c r="Z9" s="12"/>
      <c r="AA9" s="11" t="s">
        <v>102</v>
      </c>
      <c r="AB9" s="12"/>
      <c r="AC9" s="11" t="s">
        <v>125</v>
      </c>
      <c r="AE9" s="4" t="s">
        <v>22</v>
      </c>
    </row>
    <row r="10" spans="1:40" s="8" customFormat="1" ht="12">
      <c r="B10" s="7"/>
      <c r="D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40">
      <c r="A11" s="54" t="s">
        <v>346</v>
      </c>
    </row>
    <row r="12" spans="1:40" s="65" customFormat="1" hidden="1">
      <c r="A12" s="13" t="s">
        <v>399</v>
      </c>
      <c r="B12" s="13"/>
      <c r="C12" s="13" t="s">
        <v>365</v>
      </c>
      <c r="G12" s="81">
        <v>6347800</v>
      </c>
      <c r="H12" s="81"/>
      <c r="I12" s="81">
        <v>0</v>
      </c>
      <c r="J12" s="81"/>
      <c r="K12" s="59">
        <f>+M12-I12-G12</f>
        <v>0</v>
      </c>
      <c r="L12" s="81"/>
      <c r="M12" s="81">
        <v>6347800</v>
      </c>
      <c r="N12" s="81"/>
      <c r="O12" s="59">
        <f>+S12-Q12</f>
        <v>0</v>
      </c>
      <c r="P12" s="81"/>
      <c r="Q12" s="81">
        <v>0</v>
      </c>
      <c r="R12" s="81"/>
      <c r="S12" s="81">
        <v>0</v>
      </c>
      <c r="T12" s="81"/>
      <c r="U12" s="81"/>
      <c r="V12" s="81"/>
      <c r="W12" s="81">
        <v>1244978</v>
      </c>
      <c r="X12" s="81"/>
      <c r="Y12" s="81">
        <v>184613</v>
      </c>
      <c r="Z12" s="81"/>
      <c r="AA12" s="81">
        <f>3941786+228379+748044</f>
        <v>4918209</v>
      </c>
      <c r="AB12" s="81"/>
      <c r="AC12" s="87">
        <f>+AA12+Y12+U12+W12</f>
        <v>6347800</v>
      </c>
      <c r="AD12" s="81"/>
      <c r="AE12" s="13">
        <f>+G12+I12+K12-O12-Q12-AA12-Y12-U12-W12</f>
        <v>0</v>
      </c>
      <c r="AF12" s="81"/>
      <c r="AG12" s="60" t="s">
        <v>400</v>
      </c>
      <c r="AH12" s="81"/>
      <c r="AI12" s="81"/>
      <c r="AJ12" s="81"/>
      <c r="AK12" s="81"/>
      <c r="AL12" s="81"/>
      <c r="AM12" s="81"/>
    </row>
    <row r="13" spans="1:40" s="81" customFormat="1" ht="12">
      <c r="A13" s="81" t="s">
        <v>323</v>
      </c>
      <c r="C13" s="81" t="s">
        <v>155</v>
      </c>
      <c r="E13" s="89">
        <v>62042</v>
      </c>
      <c r="G13" s="81">
        <v>4842709</v>
      </c>
      <c r="I13" s="81">
        <v>0</v>
      </c>
      <c r="K13" s="59">
        <f>+M13-I13-G13</f>
        <v>3389610</v>
      </c>
      <c r="M13" s="81">
        <v>8232319</v>
      </c>
      <c r="O13" s="59">
        <f t="shared" ref="O13:O77" si="0">+S13-Q13</f>
        <v>933202</v>
      </c>
      <c r="Q13" s="81">
        <v>2444332</v>
      </c>
      <c r="S13" s="81">
        <v>3377534</v>
      </c>
      <c r="W13" s="81">
        <f>138300+562994+93797</f>
        <v>795091</v>
      </c>
      <c r="Y13" s="81">
        <v>72189</v>
      </c>
      <c r="AA13" s="81">
        <f>3366063+355188+266254</f>
        <v>3987505</v>
      </c>
      <c r="AC13" s="87">
        <f>+AA13+Y13+U13+W13</f>
        <v>4854785</v>
      </c>
      <c r="AD13" s="13"/>
      <c r="AE13" s="13">
        <f>+G13+I13+K13-O13-Q13-AA13-Y13-U13-W13</f>
        <v>0</v>
      </c>
      <c r="AF13" s="60"/>
      <c r="AG13" s="13" t="s">
        <v>401</v>
      </c>
      <c r="AH13" s="60"/>
      <c r="AI13" s="60"/>
      <c r="AJ13" s="60"/>
      <c r="AK13" s="60"/>
      <c r="AL13" s="60"/>
      <c r="AM13" s="60"/>
      <c r="AN13" s="60"/>
    </row>
    <row r="14" spans="1:40" s="60" customFormat="1" ht="12">
      <c r="A14" s="13" t="s">
        <v>265</v>
      </c>
      <c r="C14" s="60" t="s">
        <v>156</v>
      </c>
      <c r="E14" s="60">
        <v>50815</v>
      </c>
      <c r="G14" s="13">
        <v>11107442</v>
      </c>
      <c r="H14" s="13"/>
      <c r="I14" s="13">
        <v>4867</v>
      </c>
      <c r="J14" s="13"/>
      <c r="K14" s="30">
        <f>+M14-I14-G14</f>
        <v>5676575</v>
      </c>
      <c r="L14" s="13"/>
      <c r="M14" s="13">
        <v>16788884</v>
      </c>
      <c r="N14" s="13"/>
      <c r="O14" s="59">
        <f t="shared" si="0"/>
        <v>1830449</v>
      </c>
      <c r="P14" s="13"/>
      <c r="Q14" s="13">
        <v>3172539</v>
      </c>
      <c r="R14" s="13"/>
      <c r="S14" s="13">
        <v>5002988</v>
      </c>
      <c r="T14" s="13"/>
      <c r="U14" s="13"/>
      <c r="V14" s="13"/>
      <c r="W14" s="13">
        <f>356548+1603741+4867</f>
        <v>1965156</v>
      </c>
      <c r="X14" s="13"/>
      <c r="Y14" s="13">
        <v>0</v>
      </c>
      <c r="Z14" s="13"/>
      <c r="AA14" s="13">
        <f>4244443+310858+5265439</f>
        <v>9820740</v>
      </c>
      <c r="AB14" s="13"/>
      <c r="AC14" s="90">
        <f>+AA14+Y14+U14+W14</f>
        <v>11785896</v>
      </c>
      <c r="AD14" s="13"/>
      <c r="AE14" s="13">
        <f>+G14+I14+K14-O14-Q14-AA14-Y14-U14-W14</f>
        <v>0</v>
      </c>
      <c r="AG14" s="13" t="s">
        <v>401</v>
      </c>
    </row>
    <row r="15" spans="1:40" s="60" customFormat="1" ht="12">
      <c r="A15" s="13" t="s">
        <v>277</v>
      </c>
      <c r="C15" s="60" t="s">
        <v>158</v>
      </c>
      <c r="E15" s="60">
        <v>51169</v>
      </c>
      <c r="G15" s="13">
        <f>4641198+313603</f>
        <v>4954801</v>
      </c>
      <c r="H15" s="13"/>
      <c r="I15" s="13">
        <v>0</v>
      </c>
      <c r="J15" s="13"/>
      <c r="K15" s="30">
        <f t="shared" ref="K15:K62" si="1">+M15-I15-G15</f>
        <v>4360467</v>
      </c>
      <c r="L15" s="13"/>
      <c r="M15" s="13">
        <v>9315268</v>
      </c>
      <c r="N15" s="13"/>
      <c r="O15" s="59">
        <f t="shared" si="0"/>
        <v>910881</v>
      </c>
      <c r="P15" s="13"/>
      <c r="Q15" s="13">
        <v>3197729</v>
      </c>
      <c r="R15" s="13"/>
      <c r="S15" s="13">
        <v>4108610</v>
      </c>
      <c r="T15" s="13"/>
      <c r="U15" s="13"/>
      <c r="V15" s="13"/>
      <c r="W15" s="13">
        <f>89134+602360+150000</f>
        <v>841494</v>
      </c>
      <c r="X15" s="13"/>
      <c r="Y15" s="13">
        <v>0</v>
      </c>
      <c r="Z15" s="13"/>
      <c r="AA15" s="13">
        <f>4288980+72207+3977</f>
        <v>4365164</v>
      </c>
      <c r="AB15" s="13"/>
      <c r="AC15" s="90">
        <f t="shared" ref="AC15:AC62" si="2">+AA15+Y15+U15+W15</f>
        <v>5206658</v>
      </c>
      <c r="AD15" s="13"/>
      <c r="AE15" s="13">
        <f t="shared" ref="AE15:AE62" si="3">+G15+I15+K15-O15-Q15-AA15-Y15-U15-W15</f>
        <v>0</v>
      </c>
      <c r="AG15" s="13" t="s">
        <v>401</v>
      </c>
    </row>
    <row r="16" spans="1:40" s="60" customFormat="1" ht="12">
      <c r="A16" s="13" t="s">
        <v>267</v>
      </c>
      <c r="C16" s="60" t="s">
        <v>162</v>
      </c>
      <c r="E16" s="60">
        <v>50856</v>
      </c>
      <c r="G16" s="13">
        <v>807006</v>
      </c>
      <c r="H16" s="13"/>
      <c r="I16" s="13">
        <v>33817</v>
      </c>
      <c r="J16" s="13"/>
      <c r="K16" s="30">
        <f t="shared" si="1"/>
        <v>1773095</v>
      </c>
      <c r="L16" s="13"/>
      <c r="M16" s="13">
        <v>2613918</v>
      </c>
      <c r="N16" s="13"/>
      <c r="O16" s="59">
        <f t="shared" si="0"/>
        <v>780935</v>
      </c>
      <c r="P16" s="13"/>
      <c r="Q16" s="13">
        <v>1549155</v>
      </c>
      <c r="R16" s="13"/>
      <c r="S16" s="13">
        <v>2330090</v>
      </c>
      <c r="T16" s="13"/>
      <c r="U16" s="13"/>
      <c r="V16" s="13"/>
      <c r="W16" s="13">
        <f>70821+104157+22817+11000</f>
        <v>208795</v>
      </c>
      <c r="X16" s="13"/>
      <c r="Y16" s="13">
        <v>0</v>
      </c>
      <c r="Z16" s="13"/>
      <c r="AA16" s="13">
        <f>48262-98049+124820</f>
        <v>75033</v>
      </c>
      <c r="AB16" s="13"/>
      <c r="AC16" s="90">
        <f t="shared" si="2"/>
        <v>283828</v>
      </c>
      <c r="AD16" s="13"/>
      <c r="AE16" s="13">
        <f t="shared" si="3"/>
        <v>0</v>
      </c>
      <c r="AG16" s="13" t="s">
        <v>401</v>
      </c>
    </row>
    <row r="17" spans="1:33" s="19" customFormat="1" ht="12">
      <c r="A17" s="13" t="s">
        <v>290</v>
      </c>
      <c r="C17" s="19" t="s">
        <v>254</v>
      </c>
      <c r="E17" s="19">
        <v>51656</v>
      </c>
      <c r="G17" s="2">
        <v>16357263</v>
      </c>
      <c r="H17" s="2"/>
      <c r="I17" s="2">
        <v>167139</v>
      </c>
      <c r="J17" s="2"/>
      <c r="K17" s="30">
        <f t="shared" si="1"/>
        <v>5592198</v>
      </c>
      <c r="L17" s="2"/>
      <c r="M17" s="2">
        <v>22116600</v>
      </c>
      <c r="N17" s="2"/>
      <c r="O17" s="59">
        <f t="shared" si="0"/>
        <v>5425591</v>
      </c>
      <c r="P17" s="2"/>
      <c r="Q17" s="2">
        <v>375250</v>
      </c>
      <c r="R17" s="2"/>
      <c r="S17" s="2">
        <v>5800841</v>
      </c>
      <c r="T17" s="2"/>
      <c r="U17" s="2"/>
      <c r="V17" s="2"/>
      <c r="W17" s="2">
        <v>946682</v>
      </c>
      <c r="X17" s="2"/>
      <c r="Y17" s="2">
        <v>0</v>
      </c>
      <c r="Z17" s="2"/>
      <c r="AA17" s="2">
        <v>15369077</v>
      </c>
      <c r="AB17" s="2"/>
      <c r="AC17" s="31">
        <f t="shared" si="2"/>
        <v>16315759</v>
      </c>
      <c r="AD17" s="2"/>
      <c r="AE17" s="2">
        <f t="shared" si="3"/>
        <v>0</v>
      </c>
    </row>
    <row r="18" spans="1:33" s="19" customFormat="1" ht="12">
      <c r="A18" s="13" t="s">
        <v>388</v>
      </c>
      <c r="C18" s="19" t="s">
        <v>159</v>
      </c>
      <c r="E18" s="19">
        <v>50880</v>
      </c>
      <c r="G18" s="2">
        <v>22693290</v>
      </c>
      <c r="H18" s="2"/>
      <c r="I18" s="2">
        <v>467953</v>
      </c>
      <c r="J18" s="2"/>
      <c r="K18" s="30">
        <f t="shared" si="1"/>
        <v>24886086</v>
      </c>
      <c r="L18" s="2"/>
      <c r="M18" s="2">
        <v>48047329</v>
      </c>
      <c r="N18" s="2"/>
      <c r="O18" s="59">
        <f t="shared" si="0"/>
        <v>11038691</v>
      </c>
      <c r="P18" s="2"/>
      <c r="Q18" s="2">
        <v>24237714</v>
      </c>
      <c r="R18" s="2"/>
      <c r="S18" s="2">
        <v>35276405</v>
      </c>
      <c r="T18" s="2"/>
      <c r="U18" s="2"/>
      <c r="V18" s="2"/>
      <c r="W18" s="2">
        <v>13838314</v>
      </c>
      <c r="X18" s="2"/>
      <c r="Y18" s="2">
        <v>0</v>
      </c>
      <c r="Z18" s="2"/>
      <c r="AA18" s="2">
        <v>-1067390</v>
      </c>
      <c r="AB18" s="2"/>
      <c r="AC18" s="31">
        <f t="shared" si="2"/>
        <v>12770924</v>
      </c>
      <c r="AD18" s="2"/>
      <c r="AE18" s="2">
        <f t="shared" si="3"/>
        <v>0</v>
      </c>
    </row>
    <row r="19" spans="1:33" s="60" customFormat="1" ht="12" hidden="1">
      <c r="A19" s="17" t="s">
        <v>396</v>
      </c>
      <c r="C19" s="60" t="s">
        <v>282</v>
      </c>
      <c r="E19" s="60">
        <v>63511</v>
      </c>
      <c r="G19" s="13"/>
      <c r="H19" s="13"/>
      <c r="I19" s="13"/>
      <c r="J19" s="13"/>
      <c r="K19" s="30">
        <f t="shared" si="1"/>
        <v>0</v>
      </c>
      <c r="L19" s="13"/>
      <c r="M19" s="13"/>
      <c r="N19" s="13"/>
      <c r="O19" s="59">
        <f t="shared" si="0"/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90">
        <f t="shared" si="2"/>
        <v>0</v>
      </c>
      <c r="AD19" s="13"/>
      <c r="AE19" s="13">
        <f t="shared" si="3"/>
        <v>0</v>
      </c>
      <c r="AG19" s="80" t="s">
        <v>397</v>
      </c>
    </row>
    <row r="20" spans="1:33" s="19" customFormat="1" ht="12">
      <c r="A20" s="13" t="s">
        <v>392</v>
      </c>
      <c r="C20" s="19" t="s">
        <v>175</v>
      </c>
      <c r="E20" s="19">
        <v>50906</v>
      </c>
      <c r="G20" s="2">
        <v>4844930</v>
      </c>
      <c r="H20" s="2"/>
      <c r="I20" s="2">
        <v>0</v>
      </c>
      <c r="J20" s="2"/>
      <c r="K20" s="30">
        <f t="shared" si="1"/>
        <v>2204833</v>
      </c>
      <c r="L20" s="2"/>
      <c r="M20" s="2">
        <v>7049763</v>
      </c>
      <c r="N20" s="2"/>
      <c r="O20" s="59">
        <f t="shared" si="0"/>
        <v>2483676</v>
      </c>
      <c r="P20" s="2"/>
      <c r="Q20" s="2">
        <v>159622</v>
      </c>
      <c r="R20" s="2"/>
      <c r="S20" s="2">
        <v>2643298</v>
      </c>
      <c r="T20" s="2"/>
      <c r="U20" s="2"/>
      <c r="V20" s="2"/>
      <c r="W20" s="2">
        <v>330236</v>
      </c>
      <c r="X20" s="2"/>
      <c r="Y20" s="2">
        <v>0</v>
      </c>
      <c r="Z20" s="2"/>
      <c r="AA20" s="2">
        <v>4076229</v>
      </c>
      <c r="AB20" s="2"/>
      <c r="AC20" s="31">
        <f t="shared" si="2"/>
        <v>4406465</v>
      </c>
      <c r="AD20" s="2"/>
      <c r="AE20" s="2">
        <f t="shared" si="3"/>
        <v>0</v>
      </c>
    </row>
    <row r="21" spans="1:33" s="19" customFormat="1" ht="12">
      <c r="A21" s="13" t="s">
        <v>328</v>
      </c>
      <c r="C21" s="19" t="s">
        <v>272</v>
      </c>
      <c r="E21" s="19">
        <v>65227</v>
      </c>
      <c r="G21" s="2">
        <v>400781</v>
      </c>
      <c r="H21" s="2"/>
      <c r="I21" s="2">
        <v>12200</v>
      </c>
      <c r="J21" s="2"/>
      <c r="K21" s="30">
        <f t="shared" si="1"/>
        <v>1376307</v>
      </c>
      <c r="L21" s="2"/>
      <c r="M21" s="2">
        <v>1789288</v>
      </c>
      <c r="N21" s="2"/>
      <c r="O21" s="59">
        <f t="shared" si="0"/>
        <v>381140</v>
      </c>
      <c r="P21" s="2"/>
      <c r="Q21" s="2">
        <v>1316857</v>
      </c>
      <c r="R21" s="2"/>
      <c r="S21" s="2">
        <v>1697997</v>
      </c>
      <c r="T21" s="2"/>
      <c r="U21" s="2"/>
      <c r="V21" s="2"/>
      <c r="W21" s="2">
        <v>81599</v>
      </c>
      <c r="X21" s="2"/>
      <c r="Y21" s="2">
        <v>0</v>
      </c>
      <c r="Z21" s="2"/>
      <c r="AA21" s="2">
        <v>9692</v>
      </c>
      <c r="AB21" s="2"/>
      <c r="AC21" s="31">
        <f t="shared" si="2"/>
        <v>91291</v>
      </c>
      <c r="AD21" s="2"/>
      <c r="AE21" s="2">
        <f t="shared" si="3"/>
        <v>0</v>
      </c>
    </row>
    <row r="22" spans="1:33" s="60" customFormat="1" ht="12">
      <c r="A22" s="13" t="s">
        <v>403</v>
      </c>
      <c r="C22" s="60" t="s">
        <v>207</v>
      </c>
      <c r="E22" s="60">
        <v>51201</v>
      </c>
      <c r="G22" s="13">
        <f>2140827+414861</f>
        <v>2555688</v>
      </c>
      <c r="H22" s="13"/>
      <c r="I22" s="13">
        <v>0</v>
      </c>
      <c r="J22" s="13"/>
      <c r="K22" s="30">
        <f t="shared" si="1"/>
        <v>9468204</v>
      </c>
      <c r="L22" s="13"/>
      <c r="M22" s="13">
        <v>12023892</v>
      </c>
      <c r="N22" s="13"/>
      <c r="O22" s="59">
        <f t="shared" si="0"/>
        <v>1810874</v>
      </c>
      <c r="P22" s="13"/>
      <c r="Q22" s="13">
        <v>7747062</v>
      </c>
      <c r="R22" s="13"/>
      <c r="S22" s="13">
        <v>9557936</v>
      </c>
      <c r="T22" s="13"/>
      <c r="U22" s="13"/>
      <c r="V22" s="13"/>
      <c r="W22" s="13">
        <f>358942+767406</f>
        <v>1126348</v>
      </c>
      <c r="X22" s="13"/>
      <c r="Y22" s="13">
        <v>0</v>
      </c>
      <c r="Z22" s="13"/>
      <c r="AA22" s="13">
        <f>713273+918100+7735-299500</f>
        <v>1339608</v>
      </c>
      <c r="AB22" s="13"/>
      <c r="AC22" s="90">
        <f t="shared" si="2"/>
        <v>2465956</v>
      </c>
      <c r="AD22" s="13"/>
      <c r="AE22" s="13">
        <f t="shared" si="3"/>
        <v>0</v>
      </c>
      <c r="AG22" s="13" t="s">
        <v>401</v>
      </c>
    </row>
    <row r="23" spans="1:33" s="19" customFormat="1" ht="12">
      <c r="A23" s="2" t="s">
        <v>325</v>
      </c>
      <c r="C23" s="19" t="s">
        <v>177</v>
      </c>
      <c r="E23" s="19">
        <v>50922</v>
      </c>
      <c r="G23" s="2">
        <v>10231645</v>
      </c>
      <c r="H23" s="2"/>
      <c r="I23" s="2">
        <v>0</v>
      </c>
      <c r="J23" s="2"/>
      <c r="K23" s="30">
        <f t="shared" si="1"/>
        <v>17207158</v>
      </c>
      <c r="L23" s="2"/>
      <c r="M23" s="2">
        <v>27438803</v>
      </c>
      <c r="N23" s="2"/>
      <c r="O23" s="59">
        <f t="shared" si="0"/>
        <v>10886174</v>
      </c>
      <c r="P23" s="2"/>
      <c r="Q23" s="2">
        <v>1102856</v>
      </c>
      <c r="R23" s="2"/>
      <c r="S23" s="2">
        <v>11989030</v>
      </c>
      <c r="T23" s="2"/>
      <c r="U23" s="2"/>
      <c r="V23" s="2"/>
      <c r="W23" s="2">
        <v>4015738</v>
      </c>
      <c r="X23" s="2"/>
      <c r="Y23" s="2">
        <v>0</v>
      </c>
      <c r="Z23" s="2"/>
      <c r="AA23" s="2">
        <v>11434035</v>
      </c>
      <c r="AB23" s="2"/>
      <c r="AC23" s="31">
        <f t="shared" si="2"/>
        <v>15449773</v>
      </c>
      <c r="AD23" s="2"/>
      <c r="AE23" s="2">
        <f t="shared" si="3"/>
        <v>0</v>
      </c>
    </row>
    <row r="24" spans="1:33" s="19" customFormat="1" ht="12">
      <c r="A24" s="2" t="s">
        <v>324</v>
      </c>
      <c r="C24" s="19" t="s">
        <v>181</v>
      </c>
      <c r="E24" s="19">
        <v>50989</v>
      </c>
      <c r="G24" s="2">
        <v>14447518</v>
      </c>
      <c r="H24" s="2"/>
      <c r="I24" s="2">
        <v>49102</v>
      </c>
      <c r="J24" s="2"/>
      <c r="K24" s="30">
        <f t="shared" si="1"/>
        <v>11709237</v>
      </c>
      <c r="L24" s="2"/>
      <c r="M24" s="2">
        <v>26205857</v>
      </c>
      <c r="N24" s="2"/>
      <c r="O24" s="59">
        <f t="shared" si="0"/>
        <v>10499090</v>
      </c>
      <c r="P24" s="2"/>
      <c r="Q24" s="2">
        <v>481291</v>
      </c>
      <c r="R24" s="2"/>
      <c r="S24" s="2">
        <v>10980381</v>
      </c>
      <c r="T24" s="2"/>
      <c r="U24" s="2"/>
      <c r="V24" s="2"/>
      <c r="W24" s="2">
        <v>2349807</v>
      </c>
      <c r="X24" s="2"/>
      <c r="Y24" s="2">
        <v>0</v>
      </c>
      <c r="Z24" s="2"/>
      <c r="AA24" s="2">
        <v>12875669</v>
      </c>
      <c r="AB24" s="2"/>
      <c r="AC24" s="31">
        <f t="shared" si="2"/>
        <v>15225476</v>
      </c>
      <c r="AD24" s="2"/>
      <c r="AE24" s="2">
        <f t="shared" si="3"/>
        <v>0</v>
      </c>
    </row>
    <row r="25" spans="1:33" s="19" customFormat="1" ht="12">
      <c r="A25" s="2" t="s">
        <v>326</v>
      </c>
      <c r="C25" s="19" t="s">
        <v>186</v>
      </c>
      <c r="E25" s="19">
        <v>51003</v>
      </c>
      <c r="G25" s="2">
        <v>21738168</v>
      </c>
      <c r="H25" s="2"/>
      <c r="I25" s="2">
        <v>11537</v>
      </c>
      <c r="J25" s="2"/>
      <c r="K25" s="30">
        <f t="shared" si="1"/>
        <v>15021993</v>
      </c>
      <c r="L25" s="2"/>
      <c r="M25" s="2">
        <v>36771698</v>
      </c>
      <c r="N25" s="2"/>
      <c r="O25" s="59">
        <f t="shared" si="0"/>
        <v>2693665</v>
      </c>
      <c r="P25" s="2"/>
      <c r="Q25" s="2">
        <v>10755551</v>
      </c>
      <c r="R25" s="2"/>
      <c r="S25" s="2">
        <v>13449216</v>
      </c>
      <c r="T25" s="2"/>
      <c r="U25" s="2"/>
      <c r="V25" s="2"/>
      <c r="W25" s="2">
        <v>8521900</v>
      </c>
      <c r="X25" s="2"/>
      <c r="Y25" s="2">
        <v>0</v>
      </c>
      <c r="Z25" s="2"/>
      <c r="AA25" s="2">
        <v>14800582</v>
      </c>
      <c r="AB25" s="2"/>
      <c r="AC25" s="31">
        <f t="shared" si="2"/>
        <v>23322482</v>
      </c>
      <c r="AD25" s="2"/>
      <c r="AE25" s="2">
        <f t="shared" si="3"/>
        <v>0</v>
      </c>
    </row>
    <row r="26" spans="1:33" s="60" customFormat="1" ht="12">
      <c r="A26" s="13" t="s">
        <v>327</v>
      </c>
      <c r="C26" s="60" t="s">
        <v>183</v>
      </c>
      <c r="E26" s="60">
        <v>51029</v>
      </c>
      <c r="G26" s="13">
        <v>5843342</v>
      </c>
      <c r="H26" s="13"/>
      <c r="I26" s="13">
        <v>0</v>
      </c>
      <c r="J26" s="13"/>
      <c r="K26" s="30">
        <f t="shared" si="1"/>
        <v>6876680</v>
      </c>
      <c r="L26" s="13"/>
      <c r="M26" s="13">
        <v>12720022</v>
      </c>
      <c r="N26" s="13"/>
      <c r="O26" s="59">
        <f t="shared" si="0"/>
        <v>6463741</v>
      </c>
      <c r="P26" s="13"/>
      <c r="Q26" s="13">
        <v>627803</v>
      </c>
      <c r="R26" s="13"/>
      <c r="S26" s="13">
        <v>7091544</v>
      </c>
      <c r="T26" s="13"/>
      <c r="U26" s="13"/>
      <c r="V26" s="13"/>
      <c r="W26" s="13">
        <f>99541+74612+757192+2913+12864</f>
        <v>947122</v>
      </c>
      <c r="X26" s="13"/>
      <c r="Y26" s="13">
        <v>0</v>
      </c>
      <c r="Z26" s="13"/>
      <c r="AA26" s="13">
        <f>4457289+224067</f>
        <v>4681356</v>
      </c>
      <c r="AB26" s="13"/>
      <c r="AC26" s="90">
        <f t="shared" si="2"/>
        <v>5628478</v>
      </c>
      <c r="AD26" s="13"/>
      <c r="AE26" s="13">
        <f t="shared" si="3"/>
        <v>0</v>
      </c>
      <c r="AG26" s="13" t="s">
        <v>401</v>
      </c>
    </row>
    <row r="27" spans="1:33" s="19" customFormat="1" ht="12">
      <c r="A27" s="2" t="s">
        <v>329</v>
      </c>
      <c r="C27" s="19" t="s">
        <v>275</v>
      </c>
      <c r="E27" s="19">
        <v>50963</v>
      </c>
      <c r="G27" s="2">
        <v>6963856</v>
      </c>
      <c r="H27" s="2"/>
      <c r="I27" s="2">
        <v>0</v>
      </c>
      <c r="J27" s="2"/>
      <c r="K27" s="30">
        <f t="shared" si="1"/>
        <v>12062442</v>
      </c>
      <c r="L27" s="2"/>
      <c r="M27" s="2">
        <v>19026298</v>
      </c>
      <c r="N27" s="2"/>
      <c r="O27" s="59">
        <f t="shared" si="0"/>
        <v>1990031</v>
      </c>
      <c r="P27" s="2"/>
      <c r="Q27" s="2">
        <v>5001322</v>
      </c>
      <c r="R27" s="2"/>
      <c r="S27" s="2">
        <v>6991353</v>
      </c>
      <c r="T27" s="2"/>
      <c r="U27" s="2"/>
      <c r="V27" s="2"/>
      <c r="W27" s="2">
        <v>955081</v>
      </c>
      <c r="X27" s="2"/>
      <c r="Y27" s="2">
        <v>0</v>
      </c>
      <c r="Z27" s="2"/>
      <c r="AA27" s="2">
        <v>11079864</v>
      </c>
      <c r="AB27" s="2"/>
      <c r="AC27" s="31">
        <f t="shared" si="2"/>
        <v>12034945</v>
      </c>
      <c r="AD27" s="2"/>
      <c r="AE27" s="2">
        <f t="shared" si="3"/>
        <v>0</v>
      </c>
    </row>
    <row r="28" spans="1:33" s="19" customFormat="1" ht="12">
      <c r="A28" s="2" t="s">
        <v>273</v>
      </c>
      <c r="C28" s="19" t="s">
        <v>189</v>
      </c>
      <c r="E28" s="19">
        <v>62067</v>
      </c>
      <c r="G28" s="2">
        <v>11754950</v>
      </c>
      <c r="H28" s="2"/>
      <c r="I28" s="2">
        <v>32757</v>
      </c>
      <c r="J28" s="2"/>
      <c r="K28" s="30">
        <f t="shared" si="1"/>
        <v>3652384</v>
      </c>
      <c r="L28" s="2"/>
      <c r="M28" s="2">
        <v>15440091</v>
      </c>
      <c r="N28" s="2"/>
      <c r="O28" s="59">
        <f t="shared" si="0"/>
        <v>1571383</v>
      </c>
      <c r="P28" s="2"/>
      <c r="Q28" s="2">
        <v>3327681</v>
      </c>
      <c r="R28" s="2"/>
      <c r="S28" s="2">
        <v>4899064</v>
      </c>
      <c r="T28" s="2"/>
      <c r="U28" s="2"/>
      <c r="V28" s="2"/>
      <c r="W28" s="2">
        <v>3918208</v>
      </c>
      <c r="X28" s="2"/>
      <c r="Y28" s="2">
        <v>0</v>
      </c>
      <c r="Z28" s="2"/>
      <c r="AA28" s="2">
        <v>6622819</v>
      </c>
      <c r="AB28" s="2"/>
      <c r="AC28" s="31">
        <f t="shared" si="2"/>
        <v>10541027</v>
      </c>
      <c r="AD28" s="2"/>
      <c r="AE28" s="2">
        <f t="shared" si="3"/>
        <v>0</v>
      </c>
    </row>
    <row r="29" spans="1:33" s="60" customFormat="1" ht="12">
      <c r="A29" s="13" t="s">
        <v>274</v>
      </c>
      <c r="C29" s="60" t="s">
        <v>195</v>
      </c>
      <c r="E29" s="60">
        <v>51060</v>
      </c>
      <c r="G29" s="13">
        <v>64068567</v>
      </c>
      <c r="H29" s="13"/>
      <c r="I29" s="13">
        <v>0</v>
      </c>
      <c r="J29" s="13"/>
      <c r="K29" s="30">
        <f t="shared" si="1"/>
        <v>41738317</v>
      </c>
      <c r="L29" s="13"/>
      <c r="M29" s="13">
        <v>105806884</v>
      </c>
      <c r="N29" s="13"/>
      <c r="O29" s="59">
        <f t="shared" si="0"/>
        <v>7871269</v>
      </c>
      <c r="P29" s="13"/>
      <c r="Q29" s="13">
        <v>28752170</v>
      </c>
      <c r="R29" s="13"/>
      <c r="S29" s="13">
        <v>36623439</v>
      </c>
      <c r="T29" s="13"/>
      <c r="U29" s="13"/>
      <c r="V29" s="13"/>
      <c r="W29" s="13">
        <f>4553949+782060+9520214</f>
        <v>14856223</v>
      </c>
      <c r="X29" s="13"/>
      <c r="Y29" s="13">
        <v>0</v>
      </c>
      <c r="Z29" s="13"/>
      <c r="AA29" s="13">
        <f>44146602+731886+9448734</f>
        <v>54327222</v>
      </c>
      <c r="AB29" s="13"/>
      <c r="AC29" s="90">
        <f t="shared" si="2"/>
        <v>69183445</v>
      </c>
      <c r="AD29" s="13"/>
      <c r="AE29" s="13">
        <f>+G29+I29+K29-O29-Q29-AA29-Y29-U29-W29</f>
        <v>0</v>
      </c>
      <c r="AG29" s="13" t="s">
        <v>401</v>
      </c>
    </row>
    <row r="30" spans="1:33" s="19" customFormat="1" ht="12">
      <c r="A30" s="2" t="s">
        <v>330</v>
      </c>
      <c r="C30" s="19" t="s">
        <v>193</v>
      </c>
      <c r="E30" s="19">
        <v>51045</v>
      </c>
      <c r="G30" s="2">
        <v>8723453</v>
      </c>
      <c r="H30" s="2"/>
      <c r="I30" s="2">
        <v>0</v>
      </c>
      <c r="J30" s="2"/>
      <c r="K30" s="30">
        <f t="shared" si="1"/>
        <v>8775677</v>
      </c>
      <c r="L30" s="2"/>
      <c r="M30" s="2">
        <v>17499130</v>
      </c>
      <c r="N30" s="2"/>
      <c r="O30" s="59">
        <f t="shared" si="0"/>
        <v>1565648</v>
      </c>
      <c r="P30" s="2"/>
      <c r="Q30" s="2">
        <v>8149909</v>
      </c>
      <c r="R30" s="2"/>
      <c r="S30" s="2">
        <v>9715557</v>
      </c>
      <c r="T30" s="2"/>
      <c r="U30" s="2"/>
      <c r="V30" s="2"/>
      <c r="W30" s="2">
        <v>595263</v>
      </c>
      <c r="X30" s="2"/>
      <c r="Y30" s="2">
        <v>0</v>
      </c>
      <c r="Z30" s="2"/>
      <c r="AA30" s="2">
        <v>7188310</v>
      </c>
      <c r="AB30" s="2"/>
      <c r="AC30" s="31">
        <f t="shared" si="2"/>
        <v>7783573</v>
      </c>
      <c r="AD30" s="2"/>
      <c r="AE30" s="2">
        <f t="shared" si="3"/>
        <v>0</v>
      </c>
    </row>
    <row r="31" spans="1:33" s="19" customFormat="1" ht="12">
      <c r="A31" s="2" t="s">
        <v>276</v>
      </c>
      <c r="C31" s="19" t="s">
        <v>200</v>
      </c>
      <c r="E31" s="19">
        <v>51128</v>
      </c>
      <c r="G31" s="2">
        <v>127107</v>
      </c>
      <c r="H31" s="2"/>
      <c r="I31" s="2">
        <v>17604</v>
      </c>
      <c r="J31" s="2"/>
      <c r="K31" s="30">
        <f t="shared" si="1"/>
        <v>1852386</v>
      </c>
      <c r="L31" s="2"/>
      <c r="M31" s="2">
        <v>1997097</v>
      </c>
      <c r="N31" s="2"/>
      <c r="O31" s="59">
        <f t="shared" si="0"/>
        <v>477808</v>
      </c>
      <c r="P31" s="2"/>
      <c r="Q31" s="2">
        <v>1635256</v>
      </c>
      <c r="R31" s="2"/>
      <c r="S31" s="2">
        <v>2113064</v>
      </c>
      <c r="T31" s="2"/>
      <c r="U31" s="2"/>
      <c r="V31" s="2"/>
      <c r="W31" s="2">
        <v>215625</v>
      </c>
      <c r="X31" s="2"/>
      <c r="Y31" s="2">
        <v>0</v>
      </c>
      <c r="Z31" s="2"/>
      <c r="AA31" s="2">
        <v>-331592</v>
      </c>
      <c r="AB31" s="2"/>
      <c r="AC31" s="31">
        <f t="shared" si="2"/>
        <v>-115967</v>
      </c>
      <c r="AD31" s="2"/>
      <c r="AE31" s="2">
        <f t="shared" si="3"/>
        <v>0</v>
      </c>
    </row>
    <row r="32" spans="1:33" s="19" customFormat="1" ht="12">
      <c r="A32" s="2" t="s">
        <v>331</v>
      </c>
      <c r="C32" s="19" t="s">
        <v>202</v>
      </c>
      <c r="E32" s="19">
        <v>51144</v>
      </c>
      <c r="G32" s="2">
        <v>15787670</v>
      </c>
      <c r="H32" s="2"/>
      <c r="I32" s="2">
        <v>0</v>
      </c>
      <c r="J32" s="2"/>
      <c r="K32" s="30">
        <f t="shared" si="1"/>
        <v>3579945</v>
      </c>
      <c r="L32" s="2"/>
      <c r="M32" s="2">
        <v>19367615</v>
      </c>
      <c r="N32" s="2"/>
      <c r="O32" s="59">
        <f t="shared" si="0"/>
        <v>1858127</v>
      </c>
      <c r="P32" s="2"/>
      <c r="Q32" s="2">
        <v>2133431</v>
      </c>
      <c r="R32" s="2"/>
      <c r="S32" s="2">
        <v>3991558</v>
      </c>
      <c r="T32" s="2"/>
      <c r="U32" s="2"/>
      <c r="V32" s="2"/>
      <c r="W32" s="2">
        <v>2046555</v>
      </c>
      <c r="X32" s="2"/>
      <c r="Y32" s="2">
        <v>0</v>
      </c>
      <c r="Z32" s="2"/>
      <c r="AA32" s="2">
        <v>13329502</v>
      </c>
      <c r="AB32" s="2"/>
      <c r="AC32" s="31">
        <f t="shared" si="2"/>
        <v>15376057</v>
      </c>
      <c r="AD32" s="2"/>
      <c r="AE32" s="2">
        <f t="shared" si="3"/>
        <v>0</v>
      </c>
    </row>
    <row r="33" spans="1:33" s="19" customFormat="1" ht="12">
      <c r="A33" s="2" t="s">
        <v>278</v>
      </c>
      <c r="C33" s="19" t="s">
        <v>205</v>
      </c>
      <c r="E33" s="19">
        <v>51185</v>
      </c>
      <c r="G33" s="2">
        <v>6475301</v>
      </c>
      <c r="H33" s="2"/>
      <c r="I33" s="2">
        <v>0</v>
      </c>
      <c r="J33" s="2"/>
      <c r="K33" s="30">
        <f t="shared" si="1"/>
        <v>4225985</v>
      </c>
      <c r="L33" s="2"/>
      <c r="M33" s="2">
        <v>10701286</v>
      </c>
      <c r="N33" s="2"/>
      <c r="O33" s="59">
        <f t="shared" si="0"/>
        <v>1632656</v>
      </c>
      <c r="P33" s="2"/>
      <c r="Q33" s="2">
        <v>2123048</v>
      </c>
      <c r="R33" s="2"/>
      <c r="S33" s="2">
        <v>3755704</v>
      </c>
      <c r="T33" s="2"/>
      <c r="U33" s="2"/>
      <c r="V33" s="2"/>
      <c r="W33" s="2">
        <f>372221+251947</f>
        <v>624168</v>
      </c>
      <c r="X33" s="2"/>
      <c r="Y33" s="2">
        <v>0</v>
      </c>
      <c r="Z33" s="2"/>
      <c r="AA33" s="2">
        <f>3653003+2874346-122833-83102</f>
        <v>6321414</v>
      </c>
      <c r="AB33" s="2"/>
      <c r="AC33" s="31">
        <f t="shared" si="2"/>
        <v>6945582</v>
      </c>
      <c r="AD33" s="2"/>
      <c r="AE33" s="2">
        <f t="shared" si="3"/>
        <v>0</v>
      </c>
    </row>
    <row r="34" spans="1:33" s="71" customFormat="1" ht="12" hidden="1">
      <c r="A34" s="69" t="s">
        <v>362</v>
      </c>
      <c r="C34" s="71" t="s">
        <v>207</v>
      </c>
      <c r="E34" s="71">
        <v>47977</v>
      </c>
      <c r="G34" s="69"/>
      <c r="H34" s="69"/>
      <c r="I34" s="69"/>
      <c r="J34" s="69"/>
      <c r="K34" s="76">
        <f t="shared" si="1"/>
        <v>0</v>
      </c>
      <c r="L34" s="69"/>
      <c r="M34" s="69"/>
      <c r="N34" s="69"/>
      <c r="O34" s="75">
        <f t="shared" si="0"/>
        <v>0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7">
        <f t="shared" si="2"/>
        <v>0</v>
      </c>
      <c r="AE34" s="69">
        <f t="shared" si="3"/>
        <v>0</v>
      </c>
      <c r="AG34" s="93" t="s">
        <v>404</v>
      </c>
    </row>
    <row r="35" spans="1:33" s="19" customFormat="1" ht="12">
      <c r="A35" s="2" t="s">
        <v>280</v>
      </c>
      <c r="C35" s="19" t="s">
        <v>154</v>
      </c>
      <c r="E35" s="19">
        <v>51227</v>
      </c>
      <c r="G35" s="2">
        <v>12158207</v>
      </c>
      <c r="H35" s="2"/>
      <c r="I35" s="2">
        <v>0</v>
      </c>
      <c r="J35" s="2"/>
      <c r="K35" s="30">
        <f t="shared" si="1"/>
        <v>12781040</v>
      </c>
      <c r="L35" s="2"/>
      <c r="M35" s="2">
        <v>24939247</v>
      </c>
      <c r="N35" s="2"/>
      <c r="O35" s="59">
        <f t="shared" si="0"/>
        <v>14392077</v>
      </c>
      <c r="P35" s="2"/>
      <c r="Q35" s="2">
        <v>0</v>
      </c>
      <c r="R35" s="2"/>
      <c r="S35" s="2">
        <v>14392077</v>
      </c>
      <c r="T35" s="2"/>
      <c r="U35" s="2"/>
      <c r="V35" s="2"/>
      <c r="W35" s="2">
        <f>803599+134119+848941</f>
        <v>1786659</v>
      </c>
      <c r="X35" s="2"/>
      <c r="Y35" s="2">
        <v>0</v>
      </c>
      <c r="Z35" s="2"/>
      <c r="AA35" s="2">
        <f>5723181+1293787+1743543</f>
        <v>8760511</v>
      </c>
      <c r="AB35" s="2"/>
      <c r="AC35" s="31">
        <f t="shared" si="2"/>
        <v>10547170</v>
      </c>
      <c r="AD35" s="2"/>
      <c r="AE35" s="2">
        <f t="shared" si="3"/>
        <v>0</v>
      </c>
    </row>
    <row r="36" spans="1:33" s="19" customFormat="1" ht="12">
      <c r="A36" s="2" t="s">
        <v>283</v>
      </c>
      <c r="C36" s="19" t="s">
        <v>214</v>
      </c>
      <c r="E36" s="19">
        <v>51243</v>
      </c>
      <c r="G36" s="2">
        <v>8874819</v>
      </c>
      <c r="H36" s="2"/>
      <c r="I36" s="2">
        <v>750000</v>
      </c>
      <c r="J36" s="2"/>
      <c r="K36" s="30">
        <f t="shared" si="1"/>
        <v>25452895</v>
      </c>
      <c r="L36" s="2"/>
      <c r="M36" s="2">
        <v>35077714</v>
      </c>
      <c r="N36" s="2"/>
      <c r="O36" s="59">
        <f t="shared" si="0"/>
        <v>2347635</v>
      </c>
      <c r="P36" s="2"/>
      <c r="Q36" s="2">
        <v>6711982</v>
      </c>
      <c r="R36" s="2"/>
      <c r="S36" s="2">
        <v>9059617</v>
      </c>
      <c r="T36" s="2"/>
      <c r="U36" s="2"/>
      <c r="V36" s="2"/>
      <c r="W36" s="2">
        <f>8123968+750000+5134</f>
        <v>8879102</v>
      </c>
      <c r="X36" s="2"/>
      <c r="Y36" s="2">
        <v>0</v>
      </c>
      <c r="Z36" s="2"/>
      <c r="AA36" s="2">
        <f>94162+16881878+162955</f>
        <v>17138995</v>
      </c>
      <c r="AB36" s="2"/>
      <c r="AC36" s="31">
        <f t="shared" si="2"/>
        <v>26018097</v>
      </c>
      <c r="AD36" s="2"/>
      <c r="AE36" s="2">
        <f t="shared" si="3"/>
        <v>0</v>
      </c>
    </row>
    <row r="37" spans="1:33" s="19" customFormat="1" ht="12">
      <c r="A37" s="2" t="s">
        <v>332</v>
      </c>
      <c r="C37" s="19" t="s">
        <v>230</v>
      </c>
      <c r="E37" s="19">
        <v>51391</v>
      </c>
      <c r="G37" s="2">
        <v>19430130</v>
      </c>
      <c r="H37" s="2"/>
      <c r="I37" s="2">
        <v>223362</v>
      </c>
      <c r="J37" s="2"/>
      <c r="K37" s="30">
        <f t="shared" si="1"/>
        <v>7263950</v>
      </c>
      <c r="L37" s="2"/>
      <c r="M37" s="2">
        <v>26917442</v>
      </c>
      <c r="N37" s="2"/>
      <c r="O37" s="59">
        <f t="shared" si="0"/>
        <v>1413559</v>
      </c>
      <c r="P37" s="2"/>
      <c r="Q37" s="2">
        <v>6141906</v>
      </c>
      <c r="R37" s="2"/>
      <c r="S37" s="2">
        <v>7555465</v>
      </c>
      <c r="T37" s="2"/>
      <c r="U37" s="2"/>
      <c r="V37" s="2"/>
      <c r="W37" s="2">
        <f>771308+635198+223362+74336</f>
        <v>1704204</v>
      </c>
      <c r="X37" s="2"/>
      <c r="Y37" s="2">
        <v>409021</v>
      </c>
      <c r="Z37" s="2"/>
      <c r="AA37" s="2">
        <f>17420409-171657</f>
        <v>17248752</v>
      </c>
      <c r="AB37" s="2"/>
      <c r="AC37" s="31">
        <f t="shared" si="2"/>
        <v>19361977</v>
      </c>
      <c r="AD37" s="2"/>
      <c r="AE37" s="2">
        <f t="shared" si="3"/>
        <v>0</v>
      </c>
    </row>
    <row r="38" spans="1:33" s="19" customFormat="1" ht="12">
      <c r="A38" s="2" t="s">
        <v>286</v>
      </c>
      <c r="C38" s="19" t="s">
        <v>216</v>
      </c>
      <c r="E38" s="19">
        <v>62109</v>
      </c>
      <c r="G38" s="2">
        <v>6298789</v>
      </c>
      <c r="H38" s="2"/>
      <c r="I38" s="2">
        <v>0</v>
      </c>
      <c r="J38" s="2"/>
      <c r="K38" s="30">
        <f t="shared" si="1"/>
        <v>8100634</v>
      </c>
      <c r="L38" s="2"/>
      <c r="M38" s="2">
        <v>14399423</v>
      </c>
      <c r="N38" s="2"/>
      <c r="O38" s="59">
        <f t="shared" si="0"/>
        <v>1764897</v>
      </c>
      <c r="P38" s="2"/>
      <c r="Q38" s="2">
        <v>7046959</v>
      </c>
      <c r="R38" s="2"/>
      <c r="S38" s="2">
        <v>8811856</v>
      </c>
      <c r="T38" s="2"/>
      <c r="U38" s="2"/>
      <c r="V38" s="2"/>
      <c r="W38" s="2">
        <f>726700+120419+627921</f>
        <v>1475040</v>
      </c>
      <c r="X38" s="2"/>
      <c r="Y38" s="2">
        <v>0</v>
      </c>
      <c r="Z38" s="2"/>
      <c r="AA38" s="2">
        <f>4042879+33903+35745</f>
        <v>4112527</v>
      </c>
      <c r="AB38" s="2"/>
      <c r="AC38" s="31">
        <f t="shared" si="2"/>
        <v>5587567</v>
      </c>
      <c r="AD38" s="2"/>
      <c r="AE38" s="2">
        <f t="shared" si="3"/>
        <v>0</v>
      </c>
    </row>
    <row r="39" spans="1:33" s="19" customFormat="1" ht="12">
      <c r="A39" s="2" t="s">
        <v>333</v>
      </c>
      <c r="C39" s="19" t="s">
        <v>222</v>
      </c>
      <c r="E39" s="19">
        <v>51284</v>
      </c>
      <c r="G39" s="2">
        <v>7423188</v>
      </c>
      <c r="H39" s="2"/>
      <c r="I39" s="95">
        <v>419919</v>
      </c>
      <c r="J39" s="2"/>
      <c r="K39" s="30">
        <f t="shared" si="1"/>
        <v>12828168</v>
      </c>
      <c r="L39" s="2"/>
      <c r="M39" s="2">
        <v>20671275</v>
      </c>
      <c r="N39" s="2"/>
      <c r="O39" s="59">
        <f t="shared" si="0"/>
        <v>4497870</v>
      </c>
      <c r="P39" s="2"/>
      <c r="Q39" s="2">
        <v>11601678</v>
      </c>
      <c r="R39" s="2"/>
      <c r="S39" s="2">
        <v>16099548</v>
      </c>
      <c r="T39" s="2"/>
      <c r="U39" s="2"/>
      <c r="V39" s="2"/>
      <c r="W39" s="2">
        <f>3438921+840281+73220</f>
        <v>4352422</v>
      </c>
      <c r="X39" s="2"/>
      <c r="Y39" s="2">
        <v>0</v>
      </c>
      <c r="Z39" s="2"/>
      <c r="AA39" s="2">
        <f>1101140-729500-152335</f>
        <v>219305</v>
      </c>
      <c r="AB39" s="2"/>
      <c r="AC39" s="31">
        <f t="shared" si="2"/>
        <v>4571727</v>
      </c>
      <c r="AD39" s="2"/>
      <c r="AE39" s="2">
        <f t="shared" si="3"/>
        <v>0</v>
      </c>
    </row>
    <row r="40" spans="1:33" s="19" customFormat="1" ht="12">
      <c r="A40" s="2" t="s">
        <v>334</v>
      </c>
      <c r="C40" s="19" t="s">
        <v>224</v>
      </c>
      <c r="E40" s="19">
        <v>51300</v>
      </c>
      <c r="G40" s="2">
        <v>14531131</v>
      </c>
      <c r="H40" s="2"/>
      <c r="I40" s="2">
        <v>48544</v>
      </c>
      <c r="J40" s="2"/>
      <c r="K40" s="30">
        <f t="shared" si="1"/>
        <v>8884424</v>
      </c>
      <c r="L40" s="2"/>
      <c r="M40" s="2">
        <v>23464099</v>
      </c>
      <c r="N40" s="2"/>
      <c r="O40" s="59">
        <f t="shared" si="0"/>
        <v>1576299</v>
      </c>
      <c r="P40" s="2"/>
      <c r="Q40" s="2">
        <v>8025318</v>
      </c>
      <c r="R40" s="2"/>
      <c r="S40" s="2">
        <v>9601617</v>
      </c>
      <c r="T40" s="2"/>
      <c r="U40" s="2"/>
      <c r="V40" s="2"/>
      <c r="W40" s="2">
        <f>144590+2978+45566+521852</f>
        <v>714986</v>
      </c>
      <c r="X40" s="2"/>
      <c r="Y40" s="2">
        <v>128102</v>
      </c>
      <c r="Z40" s="2"/>
      <c r="AA40" s="2">
        <f>8314886+1336332+3368176</f>
        <v>13019394</v>
      </c>
      <c r="AB40" s="2"/>
      <c r="AC40" s="31">
        <f t="shared" si="2"/>
        <v>13862482</v>
      </c>
      <c r="AD40" s="2"/>
      <c r="AE40" s="2">
        <f t="shared" si="3"/>
        <v>0</v>
      </c>
    </row>
    <row r="41" spans="1:33" s="19" customFormat="1" ht="12" hidden="1">
      <c r="A41" s="13" t="s">
        <v>279</v>
      </c>
      <c r="C41" s="19" t="s">
        <v>209</v>
      </c>
      <c r="E41" s="19">
        <v>51334</v>
      </c>
      <c r="G41" s="2"/>
      <c r="H41" s="2"/>
      <c r="I41" s="2"/>
      <c r="J41" s="2"/>
      <c r="K41" s="30">
        <f t="shared" si="1"/>
        <v>0</v>
      </c>
      <c r="L41" s="2"/>
      <c r="M41" s="2"/>
      <c r="N41" s="2"/>
      <c r="O41" s="59">
        <f t="shared" si="0"/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31">
        <f t="shared" si="2"/>
        <v>0</v>
      </c>
      <c r="AD41" s="2"/>
      <c r="AE41" s="2">
        <f t="shared" si="3"/>
        <v>0</v>
      </c>
    </row>
    <row r="42" spans="1:33" s="19" customFormat="1" ht="12">
      <c r="A42" s="2" t="s">
        <v>335</v>
      </c>
      <c r="C42" s="19" t="s">
        <v>264</v>
      </c>
      <c r="E42" s="19">
        <v>51359</v>
      </c>
      <c r="G42" s="2">
        <v>15121365</v>
      </c>
      <c r="H42" s="2"/>
      <c r="I42" s="2">
        <v>114792</v>
      </c>
      <c r="J42" s="2"/>
      <c r="K42" s="30">
        <f t="shared" si="1"/>
        <v>20519068</v>
      </c>
      <c r="L42" s="2"/>
      <c r="M42" s="2">
        <v>35755225</v>
      </c>
      <c r="N42" s="2"/>
      <c r="O42" s="59">
        <f t="shared" si="0"/>
        <v>17649334</v>
      </c>
      <c r="P42" s="2"/>
      <c r="Q42" s="2">
        <v>586847</v>
      </c>
      <c r="R42" s="2"/>
      <c r="S42" s="2">
        <v>18236181</v>
      </c>
      <c r="T42" s="2"/>
      <c r="U42" s="2"/>
      <c r="V42" s="2"/>
      <c r="W42" s="2">
        <f>623627+64030+1484838</f>
        <v>2172495</v>
      </c>
      <c r="X42" s="2"/>
      <c r="Y42" s="2">
        <v>0</v>
      </c>
      <c r="Z42" s="2"/>
      <c r="AA42" s="2">
        <f>2385555+4253543+8839813-132362</f>
        <v>15346549</v>
      </c>
      <c r="AB42" s="2"/>
      <c r="AC42" s="31">
        <f t="shared" si="2"/>
        <v>17519044</v>
      </c>
      <c r="AD42" s="2"/>
      <c r="AE42" s="2">
        <f t="shared" si="3"/>
        <v>0</v>
      </c>
    </row>
    <row r="43" spans="1:33" s="19" customFormat="1" ht="12">
      <c r="A43" s="2" t="s">
        <v>336</v>
      </c>
      <c r="C43" s="19" t="s">
        <v>238</v>
      </c>
      <c r="E43" s="19">
        <v>51433</v>
      </c>
      <c r="G43" s="2">
        <v>7591683</v>
      </c>
      <c r="H43" s="2"/>
      <c r="I43" s="2">
        <v>0</v>
      </c>
      <c r="J43" s="2"/>
      <c r="K43" s="30">
        <f t="shared" si="1"/>
        <v>5662779</v>
      </c>
      <c r="L43" s="2"/>
      <c r="M43" s="2">
        <v>13254462</v>
      </c>
      <c r="N43" s="2"/>
      <c r="O43" s="59">
        <f t="shared" si="0"/>
        <v>2126137</v>
      </c>
      <c r="P43" s="2"/>
      <c r="Q43" s="2">
        <v>4352325</v>
      </c>
      <c r="R43" s="2"/>
      <c r="S43" s="2">
        <v>6478462</v>
      </c>
      <c r="T43" s="2"/>
      <c r="U43" s="2"/>
      <c r="V43" s="2"/>
      <c r="W43" s="2">
        <f>388731+447387</f>
        <v>836118</v>
      </c>
      <c r="X43" s="2"/>
      <c r="Y43" s="2">
        <v>0</v>
      </c>
      <c r="Z43" s="2"/>
      <c r="AA43" s="2">
        <f>3725755+2052399+161728</f>
        <v>5939882</v>
      </c>
      <c r="AB43" s="2"/>
      <c r="AC43" s="31">
        <f t="shared" si="2"/>
        <v>6776000</v>
      </c>
      <c r="AD43" s="2"/>
      <c r="AE43" s="2">
        <f t="shared" si="3"/>
        <v>0</v>
      </c>
    </row>
    <row r="44" spans="1:33" s="19" customFormat="1" ht="12">
      <c r="A44" s="2" t="s">
        <v>337</v>
      </c>
      <c r="C44" s="19" t="s">
        <v>288</v>
      </c>
      <c r="E44" s="19">
        <v>51375</v>
      </c>
      <c r="G44" s="2">
        <v>5421638</v>
      </c>
      <c r="H44" s="2"/>
      <c r="I44" s="2">
        <f>23547+182307</f>
        <v>205854</v>
      </c>
      <c r="J44" s="2"/>
      <c r="K44" s="30">
        <f t="shared" si="1"/>
        <v>1934205</v>
      </c>
      <c r="L44" s="2"/>
      <c r="M44" s="2">
        <v>7561697</v>
      </c>
      <c r="N44" s="2"/>
      <c r="O44" s="59">
        <f t="shared" si="0"/>
        <v>1050943</v>
      </c>
      <c r="P44" s="2"/>
      <c r="Q44" s="2">
        <v>1322027</v>
      </c>
      <c r="R44" s="2"/>
      <c r="S44" s="2">
        <v>2372970</v>
      </c>
      <c r="T44" s="2"/>
      <c r="U44" s="2"/>
      <c r="V44" s="2"/>
      <c r="W44" s="2">
        <f>49077+98870+23547</f>
        <v>171494</v>
      </c>
      <c r="X44" s="2"/>
      <c r="Y44" s="2">
        <v>0</v>
      </c>
      <c r="Z44" s="2"/>
      <c r="AA44" s="2">
        <f>4684883+359173+212857-239680</f>
        <v>5017233</v>
      </c>
      <c r="AB44" s="2"/>
      <c r="AC44" s="31">
        <f t="shared" si="2"/>
        <v>5188727</v>
      </c>
      <c r="AD44" s="2"/>
      <c r="AE44" s="2">
        <f t="shared" si="3"/>
        <v>0</v>
      </c>
    </row>
    <row r="45" spans="1:33" s="19" customFormat="1" ht="12">
      <c r="A45" s="2" t="s">
        <v>338</v>
      </c>
      <c r="C45" s="19" t="s">
        <v>236</v>
      </c>
      <c r="E45" s="19">
        <v>51417</v>
      </c>
      <c r="G45" s="2">
        <v>32559596</v>
      </c>
      <c r="H45" s="2"/>
      <c r="I45" s="2">
        <v>65263</v>
      </c>
      <c r="J45" s="2"/>
      <c r="K45" s="30">
        <f t="shared" si="1"/>
        <v>21062250</v>
      </c>
      <c r="L45" s="2"/>
      <c r="M45" s="2">
        <v>53687109</v>
      </c>
      <c r="N45" s="2"/>
      <c r="O45" s="59">
        <f t="shared" si="0"/>
        <v>1900311</v>
      </c>
      <c r="P45" s="2"/>
      <c r="Q45" s="2">
        <f>15079369+3629232</f>
        <v>18708601</v>
      </c>
      <c r="R45" s="2"/>
      <c r="S45" s="2">
        <v>20608912</v>
      </c>
      <c r="T45" s="2"/>
      <c r="U45" s="2"/>
      <c r="V45" s="2"/>
      <c r="W45" s="2">
        <f>617257+106674+36085+784725+1093653+65263</f>
        <v>2703657</v>
      </c>
      <c r="X45" s="2"/>
      <c r="Y45" s="2">
        <v>174374</v>
      </c>
      <c r="Z45" s="2"/>
      <c r="AA45" s="2">
        <f>8996397+695404+20508365</f>
        <v>30200166</v>
      </c>
      <c r="AB45" s="2"/>
      <c r="AC45" s="31">
        <f t="shared" si="2"/>
        <v>33078197</v>
      </c>
      <c r="AD45" s="2"/>
      <c r="AE45" s="2">
        <f t="shared" si="3"/>
        <v>0</v>
      </c>
    </row>
    <row r="46" spans="1:33" s="19" customFormat="1" ht="11.25" customHeight="1">
      <c r="A46" s="2" t="s">
        <v>339</v>
      </c>
      <c r="C46" s="19" t="s">
        <v>177</v>
      </c>
      <c r="E46" s="19">
        <v>50948</v>
      </c>
      <c r="G46" s="2">
        <v>9912427</v>
      </c>
      <c r="H46" s="2"/>
      <c r="I46" s="2">
        <v>241244</v>
      </c>
      <c r="J46" s="2"/>
      <c r="K46" s="30">
        <f t="shared" si="1"/>
        <v>9604840</v>
      </c>
      <c r="L46" s="2"/>
      <c r="M46" s="2">
        <v>19758511</v>
      </c>
      <c r="N46" s="2"/>
      <c r="O46" s="59">
        <f t="shared" si="0"/>
        <v>1397881</v>
      </c>
      <c r="P46" s="2"/>
      <c r="Q46" s="2">
        <v>8144702</v>
      </c>
      <c r="R46" s="2"/>
      <c r="S46" s="2">
        <v>9542583</v>
      </c>
      <c r="T46" s="2"/>
      <c r="U46" s="2"/>
      <c r="V46" s="2"/>
      <c r="W46" s="2">
        <f>165140+42280+1354828+241244</f>
        <v>1803492</v>
      </c>
      <c r="X46" s="2"/>
      <c r="Y46" s="2">
        <v>0</v>
      </c>
      <c r="Z46" s="2"/>
      <c r="AA46" s="2">
        <f>7845678+1860+564898</f>
        <v>8412436</v>
      </c>
      <c r="AB46" s="2"/>
      <c r="AC46" s="31">
        <f t="shared" si="2"/>
        <v>10215928</v>
      </c>
      <c r="AD46" s="2"/>
      <c r="AE46" s="2">
        <f t="shared" si="3"/>
        <v>0</v>
      </c>
      <c r="AG46" s="13" t="s">
        <v>401</v>
      </c>
    </row>
    <row r="47" spans="1:33" s="19" customFormat="1" ht="12">
      <c r="A47" s="2" t="s">
        <v>340</v>
      </c>
      <c r="C47" s="19" t="s">
        <v>250</v>
      </c>
      <c r="E47" s="19">
        <v>63495</v>
      </c>
      <c r="G47" s="2">
        <v>14183246</v>
      </c>
      <c r="H47" s="2"/>
      <c r="I47" s="2">
        <v>0</v>
      </c>
      <c r="J47" s="2"/>
      <c r="K47" s="30">
        <f t="shared" si="1"/>
        <v>3143118</v>
      </c>
      <c r="L47" s="2"/>
      <c r="M47" s="2">
        <v>17326364</v>
      </c>
      <c r="N47" s="2"/>
      <c r="O47" s="59">
        <f t="shared" si="0"/>
        <v>920481</v>
      </c>
      <c r="P47" s="2"/>
      <c r="Q47" s="2">
        <v>2730068</v>
      </c>
      <c r="R47" s="2"/>
      <c r="S47" s="2">
        <v>3650549</v>
      </c>
      <c r="T47" s="2"/>
      <c r="U47" s="2"/>
      <c r="V47" s="2"/>
      <c r="W47" s="2">
        <f>257105+321844+38707</f>
        <v>617656</v>
      </c>
      <c r="X47" s="2"/>
      <c r="Y47" s="2">
        <v>146413</v>
      </c>
      <c r="Z47" s="2"/>
      <c r="AA47" s="2">
        <f>9032055+1559691+2320000</f>
        <v>12911746</v>
      </c>
      <c r="AB47" s="2"/>
      <c r="AC47" s="31">
        <f t="shared" si="2"/>
        <v>13675815</v>
      </c>
      <c r="AD47" s="2"/>
      <c r="AE47" s="2">
        <f t="shared" si="3"/>
        <v>0</v>
      </c>
    </row>
    <row r="48" spans="1:33" s="19" customFormat="1" ht="12">
      <c r="A48" s="2" t="s">
        <v>341</v>
      </c>
      <c r="C48" s="19" t="s">
        <v>242</v>
      </c>
      <c r="E48" s="19">
        <v>51490</v>
      </c>
      <c r="G48" s="2">
        <v>5485307</v>
      </c>
      <c r="H48" s="2"/>
      <c r="I48" s="2">
        <v>1109734</v>
      </c>
      <c r="J48" s="2"/>
      <c r="K48" s="30">
        <f t="shared" si="1"/>
        <v>4658329</v>
      </c>
      <c r="L48" s="2"/>
      <c r="M48" s="2">
        <v>11253370</v>
      </c>
      <c r="N48" s="2"/>
      <c r="O48" s="59">
        <f t="shared" si="0"/>
        <v>2022423</v>
      </c>
      <c r="P48" s="2"/>
      <c r="Q48" s="2">
        <v>3756459</v>
      </c>
      <c r="R48" s="2"/>
      <c r="S48" s="2">
        <v>5778882</v>
      </c>
      <c r="T48" s="2"/>
      <c r="U48" s="2"/>
      <c r="V48" s="2"/>
      <c r="W48" s="2">
        <f>359521+186333</f>
        <v>545854</v>
      </c>
      <c r="X48" s="2"/>
      <c r="Y48" s="2">
        <v>0</v>
      </c>
      <c r="Z48" s="2"/>
      <c r="AA48" s="2">
        <f>2352438+990316+551133+1034747</f>
        <v>4928634</v>
      </c>
      <c r="AB48" s="2"/>
      <c r="AC48" s="31">
        <f t="shared" si="2"/>
        <v>5474488</v>
      </c>
      <c r="AD48" s="2"/>
      <c r="AE48" s="2">
        <f t="shared" si="3"/>
        <v>0</v>
      </c>
    </row>
    <row r="49" spans="1:33" s="19" customFormat="1" ht="12">
      <c r="A49" s="2" t="s">
        <v>268</v>
      </c>
      <c r="C49" s="19" t="s">
        <v>164</v>
      </c>
      <c r="E49" s="19">
        <v>50799</v>
      </c>
      <c r="G49" s="2">
        <v>8656500</v>
      </c>
      <c r="H49" s="2"/>
      <c r="I49" s="2">
        <f>20297+6602</f>
        <v>26899</v>
      </c>
      <c r="J49" s="2"/>
      <c r="K49" s="30">
        <f t="shared" si="1"/>
        <v>2803403</v>
      </c>
      <c r="L49" s="2"/>
      <c r="M49" s="2">
        <v>11486802</v>
      </c>
      <c r="N49" s="2"/>
      <c r="O49" s="59">
        <f t="shared" si="0"/>
        <v>1135397</v>
      </c>
      <c r="P49" s="2"/>
      <c r="Q49" s="2">
        <v>1981636</v>
      </c>
      <c r="R49" s="2"/>
      <c r="S49" s="2">
        <v>3117033</v>
      </c>
      <c r="T49" s="2"/>
      <c r="U49" s="2"/>
      <c r="V49" s="2"/>
      <c r="W49" s="2">
        <f>87519+260000+436137+20297</f>
        <v>803953</v>
      </c>
      <c r="X49" s="2"/>
      <c r="Y49" s="2">
        <v>0</v>
      </c>
      <c r="Z49" s="2"/>
      <c r="AA49" s="2">
        <f>2548635+1928176+3089005</f>
        <v>7565816</v>
      </c>
      <c r="AB49" s="2"/>
      <c r="AC49" s="31">
        <f t="shared" si="2"/>
        <v>8369769</v>
      </c>
      <c r="AD49" s="2"/>
      <c r="AE49" s="2">
        <f t="shared" si="3"/>
        <v>0</v>
      </c>
    </row>
    <row r="50" spans="1:33" s="19" customFormat="1" ht="12">
      <c r="A50" s="13" t="s">
        <v>387</v>
      </c>
      <c r="C50" s="19" t="s">
        <v>169</v>
      </c>
      <c r="E50" s="19">
        <v>51532</v>
      </c>
      <c r="G50" s="2">
        <v>5885800</v>
      </c>
      <c r="H50" s="2"/>
      <c r="I50" s="2">
        <v>0</v>
      </c>
      <c r="J50" s="2"/>
      <c r="K50" s="30">
        <f t="shared" si="1"/>
        <v>4778410</v>
      </c>
      <c r="L50" s="2"/>
      <c r="M50" s="2">
        <v>10664210</v>
      </c>
      <c r="N50" s="2"/>
      <c r="O50" s="59">
        <f t="shared" si="0"/>
        <v>1012896</v>
      </c>
      <c r="P50" s="2"/>
      <c r="Q50" s="2">
        <v>3633862</v>
      </c>
      <c r="R50" s="2"/>
      <c r="S50" s="2">
        <v>4646758</v>
      </c>
      <c r="T50" s="2"/>
      <c r="U50" s="2"/>
      <c r="V50" s="2"/>
      <c r="W50" s="2">
        <f>392401+89874+906002</f>
        <v>1388277</v>
      </c>
      <c r="X50" s="2"/>
      <c r="Y50" s="2">
        <v>0</v>
      </c>
      <c r="Z50" s="2"/>
      <c r="AA50" s="2">
        <f>4578450+43414-11159+18470</f>
        <v>4629175</v>
      </c>
      <c r="AB50" s="2"/>
      <c r="AC50" s="31">
        <f t="shared" si="2"/>
        <v>6017452</v>
      </c>
      <c r="AD50" s="2"/>
      <c r="AE50" s="2">
        <f t="shared" si="3"/>
        <v>0</v>
      </c>
    </row>
    <row r="51" spans="1:33" s="19" customFormat="1" ht="12">
      <c r="A51" s="13" t="s">
        <v>289</v>
      </c>
      <c r="C51" s="19" t="s">
        <v>248</v>
      </c>
      <c r="E51" s="19">
        <v>62026</v>
      </c>
      <c r="G51" s="2">
        <v>10018263</v>
      </c>
      <c r="H51" s="2"/>
      <c r="I51" s="2">
        <v>0</v>
      </c>
      <c r="J51" s="2"/>
      <c r="K51" s="30">
        <f t="shared" si="1"/>
        <v>2696016</v>
      </c>
      <c r="L51" s="2"/>
      <c r="M51" s="2">
        <v>12714279</v>
      </c>
      <c r="N51" s="2"/>
      <c r="O51" s="59">
        <f t="shared" si="0"/>
        <v>773094</v>
      </c>
      <c r="P51" s="2"/>
      <c r="Q51" s="2">
        <f>189162+2224067</f>
        <v>2413229</v>
      </c>
      <c r="R51" s="2"/>
      <c r="S51" s="2">
        <v>3186323</v>
      </c>
      <c r="T51" s="2"/>
      <c r="U51" s="2"/>
      <c r="V51" s="2"/>
      <c r="W51" s="2">
        <f>318898+3182+5554+207860+500</f>
        <v>535994</v>
      </c>
      <c r="X51" s="2"/>
      <c r="Y51" s="2">
        <v>0</v>
      </c>
      <c r="Z51" s="2"/>
      <c r="AA51" s="2">
        <f>8888081+103881</f>
        <v>8991962</v>
      </c>
      <c r="AB51" s="2"/>
      <c r="AC51" s="31">
        <f t="shared" si="2"/>
        <v>9527956</v>
      </c>
      <c r="AD51" s="2"/>
      <c r="AE51" s="2">
        <f t="shared" si="3"/>
        <v>0</v>
      </c>
    </row>
    <row r="52" spans="1:33" s="19" customFormat="1" ht="12">
      <c r="A52" s="13" t="s">
        <v>398</v>
      </c>
      <c r="C52" s="19" t="s">
        <v>282</v>
      </c>
      <c r="G52" s="2">
        <v>6613128</v>
      </c>
      <c r="H52" s="2"/>
      <c r="I52" s="2">
        <v>0</v>
      </c>
      <c r="J52" s="2"/>
      <c r="K52" s="30">
        <f t="shared" si="1"/>
        <v>8165534</v>
      </c>
      <c r="L52" s="2"/>
      <c r="M52" s="2">
        <v>14778662</v>
      </c>
      <c r="N52" s="2"/>
      <c r="O52" s="59">
        <f t="shared" si="0"/>
        <v>1220649</v>
      </c>
      <c r="P52" s="2"/>
      <c r="Q52" s="2">
        <v>5173278</v>
      </c>
      <c r="R52" s="2"/>
      <c r="S52" s="2">
        <v>6393927</v>
      </c>
      <c r="T52" s="2"/>
      <c r="U52" s="2"/>
      <c r="V52" s="2"/>
      <c r="W52" s="2">
        <f>249511+39848+2735769</f>
        <v>3025128</v>
      </c>
      <c r="X52" s="2"/>
      <c r="Y52" s="2">
        <v>0</v>
      </c>
      <c r="Z52" s="2"/>
      <c r="AA52" s="2">
        <f>5207851+72494+79262</f>
        <v>5359607</v>
      </c>
      <c r="AB52" s="2"/>
      <c r="AC52" s="31">
        <f t="shared" si="2"/>
        <v>8384735</v>
      </c>
      <c r="AD52" s="2"/>
      <c r="AE52" s="2">
        <f t="shared" si="3"/>
        <v>0</v>
      </c>
      <c r="AG52" s="3" t="s">
        <v>402</v>
      </c>
    </row>
    <row r="53" spans="1:33" s="19" customFormat="1" ht="12">
      <c r="A53" s="13" t="s">
        <v>423</v>
      </c>
      <c r="C53" s="19" t="s">
        <v>157</v>
      </c>
      <c r="E53" s="19">
        <v>51607</v>
      </c>
      <c r="G53" s="2">
        <v>3142539</v>
      </c>
      <c r="H53" s="2"/>
      <c r="I53" s="2">
        <v>0</v>
      </c>
      <c r="J53" s="2"/>
      <c r="K53" s="30">
        <f t="shared" si="1"/>
        <v>3129611</v>
      </c>
      <c r="L53" s="2"/>
      <c r="M53" s="2">
        <v>6272150</v>
      </c>
      <c r="N53" s="2"/>
      <c r="O53" s="59">
        <f t="shared" si="0"/>
        <v>704958</v>
      </c>
      <c r="P53" s="2"/>
      <c r="Q53" s="2">
        <v>2708256</v>
      </c>
      <c r="R53" s="2"/>
      <c r="S53" s="2">
        <v>3413214</v>
      </c>
      <c r="T53" s="2"/>
      <c r="U53" s="2"/>
      <c r="V53" s="2"/>
      <c r="W53" s="2">
        <f>604941+294452+39272</f>
        <v>938665</v>
      </c>
      <c r="X53" s="2"/>
      <c r="Y53" s="2">
        <v>0</v>
      </c>
      <c r="Z53" s="2"/>
      <c r="AA53" s="2">
        <f>1519161+94042+307068</f>
        <v>1920271</v>
      </c>
      <c r="AB53" s="2"/>
      <c r="AC53" s="31">
        <f t="shared" si="2"/>
        <v>2858936</v>
      </c>
      <c r="AD53" s="2"/>
      <c r="AE53" s="2">
        <f t="shared" si="3"/>
        <v>0</v>
      </c>
    </row>
    <row r="54" spans="1:33" s="19" customFormat="1" ht="12">
      <c r="A54" s="13" t="s">
        <v>284</v>
      </c>
      <c r="C54" s="19" t="s">
        <v>285</v>
      </c>
      <c r="E54" s="19">
        <v>65268</v>
      </c>
      <c r="G54" s="2">
        <v>1493498</v>
      </c>
      <c r="H54" s="2"/>
      <c r="I54" s="2">
        <v>0</v>
      </c>
      <c r="J54" s="2"/>
      <c r="K54" s="30">
        <f t="shared" si="1"/>
        <v>3845397</v>
      </c>
      <c r="L54" s="2"/>
      <c r="M54" s="2">
        <v>5338895</v>
      </c>
      <c r="N54" s="2"/>
      <c r="O54" s="59">
        <f t="shared" si="0"/>
        <v>958677</v>
      </c>
      <c r="P54" s="2"/>
      <c r="Q54" s="2">
        <v>2449193</v>
      </c>
      <c r="R54" s="2"/>
      <c r="S54" s="2">
        <v>3407870</v>
      </c>
      <c r="T54" s="2"/>
      <c r="U54" s="2"/>
      <c r="V54" s="2"/>
      <c r="W54" s="2">
        <f>1048406+239221</f>
        <v>1287627</v>
      </c>
      <c r="X54" s="2"/>
      <c r="Y54" s="2">
        <v>0</v>
      </c>
      <c r="Z54" s="2"/>
      <c r="AA54" s="2">
        <f>638730+7563-2895</f>
        <v>643398</v>
      </c>
      <c r="AB54" s="2"/>
      <c r="AC54" s="31">
        <f t="shared" si="2"/>
        <v>1931025</v>
      </c>
      <c r="AD54" s="2"/>
      <c r="AE54" s="2">
        <f t="shared" si="3"/>
        <v>0</v>
      </c>
    </row>
    <row r="55" spans="1:33" s="19" customFormat="1" ht="12">
      <c r="A55" s="13" t="s">
        <v>342</v>
      </c>
      <c r="C55" s="19" t="s">
        <v>252</v>
      </c>
      <c r="E55" s="19">
        <v>51631</v>
      </c>
      <c r="G55" s="2">
        <v>10702215</v>
      </c>
      <c r="H55" s="2"/>
      <c r="I55" s="2">
        <v>0</v>
      </c>
      <c r="J55" s="2"/>
      <c r="K55" s="30">
        <f t="shared" si="1"/>
        <v>7154419</v>
      </c>
      <c r="L55" s="2"/>
      <c r="M55" s="2">
        <v>17856634</v>
      </c>
      <c r="N55" s="2"/>
      <c r="O55" s="59">
        <f t="shared" si="0"/>
        <v>1252770</v>
      </c>
      <c r="P55" s="2"/>
      <c r="Q55" s="2">
        <f>1439063+5324849</f>
        <v>6763912</v>
      </c>
      <c r="R55" s="2"/>
      <c r="S55" s="2">
        <v>8016682</v>
      </c>
      <c r="T55" s="2"/>
      <c r="U55" s="2"/>
      <c r="V55" s="2"/>
      <c r="W55" s="2">
        <f>63883+9326+32992+25458+80731</f>
        <v>212390</v>
      </c>
      <c r="X55" s="2"/>
      <c r="Y55" s="2">
        <v>0</v>
      </c>
      <c r="Z55" s="2"/>
      <c r="AA55" s="2">
        <f>9061926-21100+586736</f>
        <v>9627562</v>
      </c>
      <c r="AB55" s="2"/>
      <c r="AC55" s="31">
        <f t="shared" si="2"/>
        <v>9839952</v>
      </c>
      <c r="AD55" s="2"/>
      <c r="AE55" s="2">
        <f t="shared" si="3"/>
        <v>0</v>
      </c>
    </row>
    <row r="56" spans="1:33" s="19" customFormat="1" ht="12">
      <c r="A56" s="13" t="s">
        <v>270</v>
      </c>
      <c r="C56" s="19" t="s">
        <v>171</v>
      </c>
      <c r="E56" s="19">
        <v>62802</v>
      </c>
      <c r="G56" s="2">
        <v>7784688</v>
      </c>
      <c r="H56" s="2"/>
      <c r="I56" s="2">
        <v>24056</v>
      </c>
      <c r="J56" s="2"/>
      <c r="K56" s="30">
        <f t="shared" si="1"/>
        <v>3427256</v>
      </c>
      <c r="L56" s="2"/>
      <c r="M56" s="2">
        <v>11236000</v>
      </c>
      <c r="N56" s="2"/>
      <c r="O56" s="59">
        <f t="shared" si="0"/>
        <v>642718</v>
      </c>
      <c r="P56" s="2"/>
      <c r="Q56" s="2">
        <v>3268940</v>
      </c>
      <c r="R56" s="2"/>
      <c r="S56" s="2">
        <v>3911658</v>
      </c>
      <c r="T56" s="2"/>
      <c r="U56" s="2"/>
      <c r="V56" s="2"/>
      <c r="W56" s="2">
        <f>178651+2297+128200+24056</f>
        <v>333204</v>
      </c>
      <c r="X56" s="2"/>
      <c r="Y56" s="2">
        <v>0</v>
      </c>
      <c r="Z56" s="2"/>
      <c r="AA56" s="2">
        <f>6408130+317825+66293+198890</f>
        <v>6991138</v>
      </c>
      <c r="AB56" s="2"/>
      <c r="AC56" s="31">
        <f t="shared" si="2"/>
        <v>7324342</v>
      </c>
      <c r="AD56" s="2"/>
      <c r="AE56" s="2">
        <f t="shared" si="3"/>
        <v>0</v>
      </c>
    </row>
    <row r="57" spans="1:33" s="19" customFormat="1" ht="12">
      <c r="A57" s="13" t="s">
        <v>287</v>
      </c>
      <c r="C57" s="19" t="s">
        <v>220</v>
      </c>
      <c r="E57" s="19">
        <v>62125</v>
      </c>
      <c r="G57" s="2">
        <v>8771027</v>
      </c>
      <c r="H57" s="2"/>
      <c r="I57" s="2">
        <v>10635</v>
      </c>
      <c r="J57" s="2"/>
      <c r="K57" s="30">
        <f t="shared" si="1"/>
        <v>6515266</v>
      </c>
      <c r="L57" s="2"/>
      <c r="M57" s="2">
        <v>15296928</v>
      </c>
      <c r="N57" s="2"/>
      <c r="O57" s="59">
        <f t="shared" si="0"/>
        <v>2457978</v>
      </c>
      <c r="P57" s="2"/>
      <c r="Q57" s="2">
        <v>5813091</v>
      </c>
      <c r="R57" s="2"/>
      <c r="S57" s="2">
        <v>8271069</v>
      </c>
      <c r="T57" s="2"/>
      <c r="U57" s="2"/>
      <c r="V57" s="2"/>
      <c r="W57" s="2">
        <f>635335+336344+9995+640+157659</f>
        <v>1139973</v>
      </c>
      <c r="X57" s="2"/>
      <c r="Y57" s="2">
        <v>0</v>
      </c>
      <c r="Z57" s="2"/>
      <c r="AA57" s="2">
        <f>4589424+296953+404843+594666</f>
        <v>5885886</v>
      </c>
      <c r="AB57" s="2"/>
      <c r="AC57" s="31">
        <f t="shared" si="2"/>
        <v>7025859</v>
      </c>
      <c r="AD57" s="2"/>
      <c r="AE57" s="2">
        <f t="shared" si="3"/>
        <v>0</v>
      </c>
    </row>
    <row r="58" spans="1:33" s="19" customFormat="1" ht="12">
      <c r="A58" s="13" t="s">
        <v>343</v>
      </c>
      <c r="C58" s="19" t="s">
        <v>240</v>
      </c>
      <c r="E58" s="19">
        <v>51458</v>
      </c>
      <c r="G58" s="2">
        <v>15259583</v>
      </c>
      <c r="H58" s="2"/>
      <c r="I58" s="2">
        <v>55852</v>
      </c>
      <c r="J58" s="2"/>
      <c r="K58" s="30">
        <f t="shared" si="1"/>
        <v>4673380</v>
      </c>
      <c r="L58" s="2"/>
      <c r="M58" s="2">
        <v>19988815</v>
      </c>
      <c r="N58" s="2"/>
      <c r="O58" s="59">
        <f t="shared" si="0"/>
        <v>1404331</v>
      </c>
      <c r="P58" s="2"/>
      <c r="Q58" s="2">
        <v>3561965</v>
      </c>
      <c r="R58" s="2"/>
      <c r="S58" s="2">
        <v>4966296</v>
      </c>
      <c r="T58" s="2"/>
      <c r="U58" s="2"/>
      <c r="V58" s="2"/>
      <c r="W58" s="2">
        <f>232255+512800+55852</f>
        <v>800907</v>
      </c>
      <c r="X58" s="2"/>
      <c r="Y58" s="2">
        <v>560058</v>
      </c>
      <c r="Z58" s="2"/>
      <c r="AA58" s="2">
        <f>3585251+445429+9630874</f>
        <v>13661554</v>
      </c>
      <c r="AB58" s="2"/>
      <c r="AC58" s="31">
        <f t="shared" si="2"/>
        <v>15022519</v>
      </c>
      <c r="AD58" s="2"/>
      <c r="AE58" s="2">
        <f t="shared" si="3"/>
        <v>0</v>
      </c>
    </row>
    <row r="59" spans="1:33" s="19" customFormat="1" ht="12">
      <c r="A59" s="13" t="s">
        <v>344</v>
      </c>
      <c r="C59" s="19" t="s">
        <v>256</v>
      </c>
      <c r="E59" s="19">
        <v>51672</v>
      </c>
      <c r="G59" s="2">
        <v>6895574</v>
      </c>
      <c r="H59" s="2"/>
      <c r="I59" s="2">
        <v>0</v>
      </c>
      <c r="J59" s="2"/>
      <c r="K59" s="30">
        <f t="shared" si="1"/>
        <v>3715271</v>
      </c>
      <c r="L59" s="2"/>
      <c r="M59" s="2">
        <v>10610845</v>
      </c>
      <c r="N59" s="2"/>
      <c r="O59" s="59">
        <f t="shared" si="0"/>
        <v>881507</v>
      </c>
      <c r="P59" s="2"/>
      <c r="Q59" s="2">
        <f>227760+3094241</f>
        <v>3322001</v>
      </c>
      <c r="R59" s="2"/>
      <c r="S59" s="2">
        <v>4203508</v>
      </c>
      <c r="T59" s="2"/>
      <c r="U59" s="2"/>
      <c r="V59" s="2"/>
      <c r="W59" s="2">
        <f>138317+40263+228826</f>
        <v>407406</v>
      </c>
      <c r="X59" s="2"/>
      <c r="Y59" s="2">
        <v>0</v>
      </c>
      <c r="Z59" s="2"/>
      <c r="AA59" s="2">
        <f>1928907+324248+3746776</f>
        <v>5999931</v>
      </c>
      <c r="AB59" s="2"/>
      <c r="AC59" s="31">
        <f t="shared" si="2"/>
        <v>6407337</v>
      </c>
      <c r="AD59" s="2"/>
      <c r="AE59" s="2">
        <f t="shared" si="3"/>
        <v>0</v>
      </c>
    </row>
    <row r="60" spans="1:33" s="19" customFormat="1" ht="12">
      <c r="A60" s="13" t="s">
        <v>291</v>
      </c>
      <c r="C60" s="19" t="s">
        <v>258</v>
      </c>
      <c r="E60" s="19">
        <v>51474</v>
      </c>
      <c r="G60" s="2">
        <v>14768495</v>
      </c>
      <c r="H60" s="2"/>
      <c r="I60" s="2">
        <v>0</v>
      </c>
      <c r="J60" s="2"/>
      <c r="K60" s="30">
        <f t="shared" si="1"/>
        <v>8959486</v>
      </c>
      <c r="L60" s="2"/>
      <c r="M60" s="2">
        <v>23727981</v>
      </c>
      <c r="N60" s="2"/>
      <c r="O60" s="59">
        <f t="shared" si="0"/>
        <v>2308624</v>
      </c>
      <c r="P60" s="2"/>
      <c r="Q60" s="2">
        <v>7974190</v>
      </c>
      <c r="R60" s="2"/>
      <c r="S60" s="2">
        <v>10282814</v>
      </c>
      <c r="T60" s="2"/>
      <c r="U60" s="2"/>
      <c r="V60" s="2"/>
      <c r="W60" s="2">
        <f>2863097+600040</f>
        <v>3463137</v>
      </c>
      <c r="X60" s="2"/>
      <c r="Y60" s="2">
        <v>0</v>
      </c>
      <c r="Z60" s="2"/>
      <c r="AA60" s="2">
        <f>8189912+9438+1782680</f>
        <v>9982030</v>
      </c>
      <c r="AB60" s="2"/>
      <c r="AC60" s="31">
        <f t="shared" si="2"/>
        <v>13445167</v>
      </c>
      <c r="AD60" s="2"/>
      <c r="AE60" s="2">
        <f t="shared" si="3"/>
        <v>0</v>
      </c>
    </row>
    <row r="61" spans="1:33" s="19" customFormat="1" ht="12">
      <c r="A61" s="13" t="s">
        <v>372</v>
      </c>
      <c r="C61" s="19" t="s">
        <v>260</v>
      </c>
      <c r="E61" s="19">
        <v>51698</v>
      </c>
      <c r="G61" s="2">
        <v>3072985</v>
      </c>
      <c r="H61" s="2"/>
      <c r="I61" s="2">
        <f>58964+139723</f>
        <v>198687</v>
      </c>
      <c r="J61" s="2"/>
      <c r="K61" s="30">
        <f t="shared" si="1"/>
        <v>2553147</v>
      </c>
      <c r="L61" s="2"/>
      <c r="M61" s="2">
        <v>5824819</v>
      </c>
      <c r="N61" s="2"/>
      <c r="O61" s="59">
        <f t="shared" si="0"/>
        <v>868188</v>
      </c>
      <c r="P61" s="2"/>
      <c r="Q61" s="2">
        <v>2112044</v>
      </c>
      <c r="R61" s="2"/>
      <c r="S61" s="2">
        <v>2980232</v>
      </c>
      <c r="T61" s="2"/>
      <c r="U61" s="2"/>
      <c r="V61" s="2"/>
      <c r="W61" s="2">
        <f>618545+58738+177+29855+28932</f>
        <v>736247</v>
      </c>
      <c r="X61" s="2"/>
      <c r="Y61" s="2">
        <f>69251+816</f>
        <v>70067</v>
      </c>
      <c r="Z61" s="2"/>
      <c r="AA61" s="2">
        <f>1991832-40078+86519</f>
        <v>2038273</v>
      </c>
      <c r="AB61" s="2"/>
      <c r="AC61" s="31">
        <f t="shared" si="2"/>
        <v>2844587</v>
      </c>
      <c r="AD61" s="2"/>
      <c r="AE61" s="2">
        <f t="shared" si="3"/>
        <v>0</v>
      </c>
    </row>
    <row r="62" spans="1:33" s="19" customFormat="1" ht="12">
      <c r="A62" s="2" t="s">
        <v>345</v>
      </c>
      <c r="C62" s="19" t="s">
        <v>262</v>
      </c>
      <c r="E62" s="19">
        <v>51714</v>
      </c>
      <c r="G62" s="2">
        <v>8838930</v>
      </c>
      <c r="H62" s="2"/>
      <c r="I62" s="2">
        <v>0</v>
      </c>
      <c r="J62" s="2"/>
      <c r="K62" s="30">
        <f t="shared" si="1"/>
        <v>32843577</v>
      </c>
      <c r="L62" s="2"/>
      <c r="M62" s="2">
        <v>41682507</v>
      </c>
      <c r="N62" s="2"/>
      <c r="O62" s="59">
        <f t="shared" si="0"/>
        <v>1421351</v>
      </c>
      <c r="P62" s="2"/>
      <c r="Q62" s="2">
        <v>21186559</v>
      </c>
      <c r="R62" s="2"/>
      <c r="S62" s="2">
        <v>22607910</v>
      </c>
      <c r="T62" s="2"/>
      <c r="U62" s="2"/>
      <c r="V62" s="2"/>
      <c r="W62" s="2">
        <f>1324151+406460</f>
        <v>1730611</v>
      </c>
      <c r="X62" s="2"/>
      <c r="Y62" s="2">
        <v>0</v>
      </c>
      <c r="Z62" s="2"/>
      <c r="AA62" s="2">
        <f>3296319+1009324+13038343</f>
        <v>17343986</v>
      </c>
      <c r="AB62" s="2"/>
      <c r="AC62" s="31">
        <f t="shared" si="2"/>
        <v>19074597</v>
      </c>
      <c r="AD62" s="2"/>
      <c r="AE62" s="2">
        <f t="shared" si="3"/>
        <v>0</v>
      </c>
    </row>
    <row r="63" spans="1:33" s="19" customFormat="1" ht="12">
      <c r="A63" s="2"/>
      <c r="G63" s="2"/>
      <c r="H63" s="2"/>
      <c r="I63" s="2"/>
      <c r="J63" s="2"/>
      <c r="K63" s="30"/>
      <c r="L63" s="2"/>
      <c r="M63" s="2"/>
      <c r="N63" s="2"/>
      <c r="O63" s="5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31"/>
      <c r="AD63" s="2"/>
      <c r="AE63" s="2"/>
    </row>
    <row r="64" spans="1:33" s="19" customFormat="1" ht="12">
      <c r="A64" s="2"/>
      <c r="G64" s="2"/>
      <c r="H64" s="2"/>
      <c r="I64" s="2"/>
      <c r="J64" s="2"/>
      <c r="K64" s="30"/>
      <c r="L64" s="2"/>
      <c r="M64" s="2"/>
      <c r="N64" s="2"/>
      <c r="O64" s="5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31" t="s">
        <v>348</v>
      </c>
      <c r="AD64" s="2"/>
      <c r="AE64" s="2"/>
    </row>
    <row r="65" spans="1:41" s="19" customFormat="1" ht="12">
      <c r="A65" s="56" t="s">
        <v>347</v>
      </c>
      <c r="C65" s="13"/>
      <c r="O65" s="59"/>
      <c r="AC65" s="31"/>
      <c r="AD65" s="2"/>
      <c r="AE65" s="2"/>
    </row>
    <row r="66" spans="1:41" s="60" customFormat="1" ht="12.75" hidden="1" customHeight="1">
      <c r="A66" s="13" t="s">
        <v>415</v>
      </c>
      <c r="B66" s="13"/>
      <c r="C66" s="13" t="s">
        <v>365</v>
      </c>
      <c r="E66" s="60">
        <v>45849</v>
      </c>
      <c r="G66" s="81">
        <v>670565</v>
      </c>
      <c r="H66" s="81"/>
      <c r="I66" s="81">
        <v>0</v>
      </c>
      <c r="J66" s="81"/>
      <c r="K66" s="59">
        <f>+M66-I66-G66</f>
        <v>0</v>
      </c>
      <c r="L66" s="81"/>
      <c r="M66" s="81">
        <v>670565</v>
      </c>
      <c r="N66" s="81"/>
      <c r="O66" s="59">
        <f t="shared" si="0"/>
        <v>0</v>
      </c>
      <c r="P66" s="81"/>
      <c r="Q66" s="81"/>
      <c r="R66" s="81"/>
      <c r="S66" s="81"/>
      <c r="T66" s="81"/>
      <c r="U66" s="81"/>
      <c r="V66" s="81"/>
      <c r="W66" s="81">
        <v>60048</v>
      </c>
      <c r="X66" s="81"/>
      <c r="Y66" s="81"/>
      <c r="Z66" s="81"/>
      <c r="AA66" s="81">
        <f>456758+153759</f>
        <v>610517</v>
      </c>
      <c r="AB66" s="81"/>
      <c r="AC66" s="87">
        <f>+AA66+Y66+U66+W66</f>
        <v>670565</v>
      </c>
      <c r="AD66" s="13"/>
      <c r="AE66" s="81">
        <f>+G66+I66+K66-O66-Q66-AA66-Y66-U66-W66</f>
        <v>0</v>
      </c>
      <c r="AG66" s="60" t="s">
        <v>400</v>
      </c>
    </row>
    <row r="67" spans="1:41" s="60" customFormat="1" ht="12" hidden="1">
      <c r="A67" s="13" t="s">
        <v>416</v>
      </c>
      <c r="B67" s="13"/>
      <c r="C67" s="13" t="s">
        <v>156</v>
      </c>
      <c r="G67" s="13">
        <v>2807036</v>
      </c>
      <c r="H67" s="13"/>
      <c r="I67" s="13">
        <v>0</v>
      </c>
      <c r="J67" s="13"/>
      <c r="K67" s="30">
        <f>+M67-I67-G67</f>
        <v>0</v>
      </c>
      <c r="L67" s="13"/>
      <c r="M67" s="13">
        <v>2807036</v>
      </c>
      <c r="N67" s="13"/>
      <c r="O67" s="59">
        <f t="shared" si="0"/>
        <v>0</v>
      </c>
      <c r="P67" s="13"/>
      <c r="Q67" s="13"/>
      <c r="R67" s="13"/>
      <c r="S67" s="13"/>
      <c r="T67" s="13"/>
      <c r="U67" s="13"/>
      <c r="V67" s="13"/>
      <c r="W67" s="13">
        <v>53339</v>
      </c>
      <c r="X67" s="13"/>
      <c r="Y67" s="13"/>
      <c r="Z67" s="13"/>
      <c r="AA67" s="13">
        <f>2699796+53901</f>
        <v>2753697</v>
      </c>
      <c r="AB67" s="13"/>
      <c r="AC67" s="90">
        <f>+AA67+Y67+U67+W67</f>
        <v>2807036</v>
      </c>
      <c r="AE67" s="13">
        <f>+G67+I67+K67-O67-Q67-AA67-Y67-U67-W67</f>
        <v>0</v>
      </c>
      <c r="AG67" s="60" t="s">
        <v>400</v>
      </c>
    </row>
    <row r="68" spans="1:41" s="60" customFormat="1" ht="12">
      <c r="A68" s="60" t="s">
        <v>161</v>
      </c>
      <c r="C68" s="60" t="s">
        <v>157</v>
      </c>
      <c r="E68" s="60">
        <v>135145</v>
      </c>
      <c r="G68" s="81">
        <v>814831</v>
      </c>
      <c r="H68" s="81"/>
      <c r="I68" s="81">
        <v>0</v>
      </c>
      <c r="J68" s="81"/>
      <c r="K68" s="59">
        <f>+M68-I68-G68</f>
        <v>719870</v>
      </c>
      <c r="L68" s="81"/>
      <c r="M68" s="81">
        <v>1534701</v>
      </c>
      <c r="N68" s="81"/>
      <c r="O68" s="59">
        <f t="shared" si="0"/>
        <v>1092193</v>
      </c>
      <c r="P68" s="81"/>
      <c r="Q68" s="81">
        <v>16736</v>
      </c>
      <c r="R68" s="81"/>
      <c r="S68" s="81">
        <v>1108929</v>
      </c>
      <c r="T68" s="81"/>
      <c r="U68" s="81"/>
      <c r="V68" s="81"/>
      <c r="W68" s="81">
        <v>108021</v>
      </c>
      <c r="X68" s="81"/>
      <c r="Y68" s="81">
        <v>0</v>
      </c>
      <c r="Z68" s="81"/>
      <c r="AA68" s="81">
        <f>178600+139151</f>
        <v>317751</v>
      </c>
      <c r="AB68" s="81"/>
      <c r="AC68" s="87">
        <f>+AA68+Y68+U68+W68</f>
        <v>425772</v>
      </c>
      <c r="AD68" s="13"/>
      <c r="AE68" s="81">
        <f>+G68+I68+K68-O68-Q68-AA68-Y68-U68-W68</f>
        <v>0</v>
      </c>
      <c r="AG68" s="13"/>
    </row>
    <row r="69" spans="1:41" s="60" customFormat="1" hidden="1">
      <c r="A69" s="13" t="s">
        <v>417</v>
      </c>
      <c r="B69" s="13"/>
      <c r="C69" s="13" t="s">
        <v>369</v>
      </c>
      <c r="G69" s="13">
        <v>2333101</v>
      </c>
      <c r="H69" s="13"/>
      <c r="I69" s="13"/>
      <c r="J69" s="13"/>
      <c r="K69" s="30">
        <f>+M69-I69-G69</f>
        <v>0</v>
      </c>
      <c r="L69" s="13"/>
      <c r="M69" s="13">
        <v>2333101</v>
      </c>
      <c r="N69" s="13"/>
      <c r="O69" s="59">
        <f t="shared" si="0"/>
        <v>0</v>
      </c>
      <c r="P69" s="13"/>
      <c r="Q69" s="13"/>
      <c r="R69" s="13"/>
      <c r="S69" s="13"/>
      <c r="T69" s="13"/>
      <c r="U69" s="13"/>
      <c r="V69" s="13"/>
      <c r="W69" s="13">
        <v>80586</v>
      </c>
      <c r="X69" s="13"/>
      <c r="Y69" s="13"/>
      <c r="Z69" s="13"/>
      <c r="AA69" s="13">
        <f>2282232-29717</f>
        <v>2252515</v>
      </c>
      <c r="AB69" s="13"/>
      <c r="AC69" s="90">
        <f>+AA69+Y69+U69+W69</f>
        <v>2333101</v>
      </c>
      <c r="AE69" s="13">
        <f>+G69+I69+K69-O69-Q69-AA69-Y69-U69-W69</f>
        <v>0</v>
      </c>
      <c r="AF69" s="65"/>
      <c r="AG69" s="60" t="s">
        <v>400</v>
      </c>
      <c r="AH69" s="65"/>
      <c r="AI69" s="65"/>
      <c r="AJ69" s="65"/>
      <c r="AK69" s="65"/>
      <c r="AL69" s="65"/>
      <c r="AM69" s="65"/>
      <c r="AN69" s="65"/>
      <c r="AO69" s="65"/>
    </row>
    <row r="70" spans="1:41">
      <c r="A70" s="19" t="s">
        <v>163</v>
      </c>
      <c r="B70" s="19"/>
      <c r="C70" s="19" t="s">
        <v>164</v>
      </c>
      <c r="E70" s="19">
        <v>46029</v>
      </c>
      <c r="G70" s="2">
        <v>2268725</v>
      </c>
      <c r="H70" s="2"/>
      <c r="I70" s="2">
        <v>0</v>
      </c>
      <c r="J70" s="2"/>
      <c r="K70" s="30">
        <f>+M70-I70-G70</f>
        <v>114761</v>
      </c>
      <c r="L70" s="2"/>
      <c r="M70" s="2">
        <v>2383486</v>
      </c>
      <c r="N70" s="2"/>
      <c r="O70" s="59">
        <f t="shared" si="0"/>
        <v>396712</v>
      </c>
      <c r="P70" s="2"/>
      <c r="Q70" s="2">
        <v>0</v>
      </c>
      <c r="R70" s="2"/>
      <c r="S70" s="2">
        <v>396712</v>
      </c>
      <c r="T70" s="2"/>
      <c r="U70" s="2"/>
      <c r="V70" s="2"/>
      <c r="W70" s="2">
        <v>81823</v>
      </c>
      <c r="X70" s="2"/>
      <c r="Y70" s="2">
        <v>0</v>
      </c>
      <c r="Z70" s="2"/>
      <c r="AA70" s="2">
        <v>1904951</v>
      </c>
      <c r="AB70" s="2"/>
      <c r="AC70" s="31">
        <f>+AA70+Y70+U70+W70</f>
        <v>1986774</v>
      </c>
      <c r="AD70" s="19"/>
      <c r="AE70" s="2">
        <f>+G70+I70+K70-O70-Q70-AA70-Y70-U70-W70</f>
        <v>0</v>
      </c>
    </row>
    <row r="71" spans="1:41" s="19" customFormat="1" ht="12">
      <c r="A71" s="19" t="s">
        <v>165</v>
      </c>
      <c r="C71" s="19" t="s">
        <v>159</v>
      </c>
      <c r="E71" s="19">
        <v>46086</v>
      </c>
      <c r="G71" s="2">
        <v>1197311</v>
      </c>
      <c r="H71" s="2"/>
      <c r="I71" s="2">
        <v>0</v>
      </c>
      <c r="J71" s="2"/>
      <c r="K71" s="30">
        <f t="shared" ref="K71:K126" si="4">+M71-I71-G71</f>
        <v>2763315</v>
      </c>
      <c r="L71" s="2"/>
      <c r="M71" s="2">
        <v>3960626</v>
      </c>
      <c r="N71" s="2"/>
      <c r="O71" s="59">
        <f t="shared" si="0"/>
        <v>944618</v>
      </c>
      <c r="P71" s="2"/>
      <c r="Q71" s="2">
        <v>1958294</v>
      </c>
      <c r="R71" s="2"/>
      <c r="S71" s="2">
        <v>2902912</v>
      </c>
      <c r="T71" s="2"/>
      <c r="U71" s="2"/>
      <c r="V71" s="2"/>
      <c r="W71" s="2">
        <v>262211</v>
      </c>
      <c r="X71" s="2"/>
      <c r="Y71" s="2">
        <v>0</v>
      </c>
      <c r="Z71" s="2"/>
      <c r="AA71" s="2">
        <v>795503</v>
      </c>
      <c r="AB71" s="2"/>
      <c r="AC71" s="31">
        <f t="shared" ref="AC71:AC126" si="5">+AA71+Y71+U71+W71</f>
        <v>1057714</v>
      </c>
      <c r="AE71" s="2">
        <f t="shared" ref="AE71:AE126" si="6">+G71+I71+K71-O71-Q71-AA71-Y71-U71-W71</f>
        <v>0</v>
      </c>
    </row>
    <row r="72" spans="1:41" s="19" customFormat="1" ht="12">
      <c r="A72" s="19" t="s">
        <v>168</v>
      </c>
      <c r="C72" s="19" t="s">
        <v>169</v>
      </c>
      <c r="E72" s="19">
        <v>46227</v>
      </c>
      <c r="G72" s="2">
        <v>1461055</v>
      </c>
      <c r="H72" s="2"/>
      <c r="I72" s="2">
        <v>283822</v>
      </c>
      <c r="J72" s="2"/>
      <c r="K72" s="30">
        <f t="shared" si="4"/>
        <v>716287</v>
      </c>
      <c r="L72" s="2"/>
      <c r="M72" s="2">
        <v>2461164</v>
      </c>
      <c r="N72" s="2"/>
      <c r="O72" s="59">
        <f t="shared" si="0"/>
        <v>855358</v>
      </c>
      <c r="P72" s="2"/>
      <c r="Q72" s="2">
        <v>447303</v>
      </c>
      <c r="R72" s="2"/>
      <c r="S72" s="2">
        <v>1302661</v>
      </c>
      <c r="T72" s="2"/>
      <c r="U72" s="2"/>
      <c r="V72" s="2"/>
      <c r="W72" s="2">
        <v>383818</v>
      </c>
      <c r="X72" s="2"/>
      <c r="Y72" s="2">
        <v>400000</v>
      </c>
      <c r="Z72" s="2"/>
      <c r="AA72" s="2">
        <v>374685</v>
      </c>
      <c r="AB72" s="2"/>
      <c r="AC72" s="31">
        <f t="shared" si="5"/>
        <v>1158503</v>
      </c>
      <c r="AE72" s="2">
        <f t="shared" si="6"/>
        <v>0</v>
      </c>
    </row>
    <row r="73" spans="1:41" s="19" customFormat="1" ht="12">
      <c r="A73" s="19" t="s">
        <v>170</v>
      </c>
      <c r="C73" s="19" t="s">
        <v>171</v>
      </c>
      <c r="E73" s="19">
        <v>46292</v>
      </c>
      <c r="G73" s="2">
        <v>5421370</v>
      </c>
      <c r="H73" s="2"/>
      <c r="I73" s="2">
        <v>0</v>
      </c>
      <c r="J73" s="2"/>
      <c r="K73" s="30">
        <f t="shared" si="4"/>
        <v>983011</v>
      </c>
      <c r="L73" s="2"/>
      <c r="M73" s="2">
        <v>6404381</v>
      </c>
      <c r="N73" s="2"/>
      <c r="O73" s="59">
        <f t="shared" si="0"/>
        <v>2444534</v>
      </c>
      <c r="P73" s="2"/>
      <c r="Q73" s="2">
        <v>0</v>
      </c>
      <c r="R73" s="2"/>
      <c r="S73" s="2">
        <v>2444534</v>
      </c>
      <c r="T73" s="2"/>
      <c r="U73" s="2"/>
      <c r="V73" s="2"/>
      <c r="W73" s="2">
        <v>31102</v>
      </c>
      <c r="X73" s="2"/>
      <c r="Y73" s="2">
        <v>0</v>
      </c>
      <c r="Z73" s="2"/>
      <c r="AA73" s="2">
        <v>3928745</v>
      </c>
      <c r="AB73" s="2"/>
      <c r="AC73" s="31">
        <f t="shared" si="5"/>
        <v>3959847</v>
      </c>
      <c r="AE73" s="2">
        <f t="shared" si="6"/>
        <v>0</v>
      </c>
    </row>
    <row r="74" spans="1:41" s="60" customFormat="1" ht="12" hidden="1">
      <c r="A74" s="80" t="s">
        <v>405</v>
      </c>
      <c r="C74" s="60" t="s">
        <v>173</v>
      </c>
      <c r="E74" s="60">
        <v>46375</v>
      </c>
      <c r="G74" s="13"/>
      <c r="H74" s="13"/>
      <c r="I74" s="13"/>
      <c r="J74" s="13"/>
      <c r="K74" s="30">
        <f t="shared" si="4"/>
        <v>0</v>
      </c>
      <c r="L74" s="13"/>
      <c r="M74" s="13"/>
      <c r="N74" s="13"/>
      <c r="O74" s="59">
        <f t="shared" si="0"/>
        <v>0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90">
        <f t="shared" si="5"/>
        <v>0</v>
      </c>
      <c r="AE74" s="13">
        <f t="shared" si="6"/>
        <v>0</v>
      </c>
      <c r="AG74" s="80" t="s">
        <v>406</v>
      </c>
    </row>
    <row r="75" spans="1:41" s="19" customFormat="1" ht="12">
      <c r="A75" s="19" t="s">
        <v>174</v>
      </c>
      <c r="C75" s="19" t="s">
        <v>175</v>
      </c>
      <c r="E75" s="19">
        <v>46417</v>
      </c>
      <c r="G75" s="2">
        <v>1072362</v>
      </c>
      <c r="H75" s="2"/>
      <c r="I75" s="2">
        <v>0</v>
      </c>
      <c r="J75" s="2"/>
      <c r="K75" s="30">
        <f t="shared" si="4"/>
        <v>793987</v>
      </c>
      <c r="L75" s="2"/>
      <c r="M75" s="2">
        <v>1866349</v>
      </c>
      <c r="N75" s="2"/>
      <c r="O75" s="59">
        <f t="shared" si="0"/>
        <v>1198420</v>
      </c>
      <c r="P75" s="2"/>
      <c r="Q75" s="2">
        <v>269550</v>
      </c>
      <c r="R75" s="2"/>
      <c r="S75" s="2">
        <v>1467970</v>
      </c>
      <c r="T75" s="2"/>
      <c r="U75" s="2"/>
      <c r="V75" s="2"/>
      <c r="W75" s="2">
        <v>244082</v>
      </c>
      <c r="X75" s="2"/>
      <c r="Y75" s="2">
        <v>0</v>
      </c>
      <c r="Z75" s="2"/>
      <c r="AA75" s="2">
        <v>154297</v>
      </c>
      <c r="AB75" s="2"/>
      <c r="AC75" s="31">
        <f t="shared" si="5"/>
        <v>398379</v>
      </c>
      <c r="AE75" s="2">
        <f t="shared" si="6"/>
        <v>0</v>
      </c>
    </row>
    <row r="76" spans="1:41" s="19" customFormat="1" ht="12">
      <c r="A76" s="19" t="s">
        <v>176</v>
      </c>
      <c r="C76" s="19" t="s">
        <v>177</v>
      </c>
      <c r="E76" s="19">
        <v>46532</v>
      </c>
      <c r="G76" s="2">
        <v>17351618</v>
      </c>
      <c r="H76" s="2"/>
      <c r="I76" s="2">
        <v>0</v>
      </c>
      <c r="J76" s="2"/>
      <c r="K76" s="30">
        <f t="shared" si="4"/>
        <v>20761779</v>
      </c>
      <c r="L76" s="2"/>
      <c r="M76" s="2">
        <v>38113397</v>
      </c>
      <c r="N76" s="2"/>
      <c r="O76" s="59">
        <f t="shared" si="0"/>
        <v>16342535</v>
      </c>
      <c r="P76" s="2"/>
      <c r="Q76" s="2">
        <v>558464</v>
      </c>
      <c r="R76" s="2"/>
      <c r="S76" s="2">
        <v>16900999</v>
      </c>
      <c r="T76" s="2"/>
      <c r="U76" s="2"/>
      <c r="V76" s="2"/>
      <c r="W76" s="2">
        <v>1561702</v>
      </c>
      <c r="X76" s="2"/>
      <c r="Y76" s="2">
        <v>0</v>
      </c>
      <c r="Z76" s="2"/>
      <c r="AA76" s="2">
        <v>19650696</v>
      </c>
      <c r="AB76" s="2"/>
      <c r="AC76" s="31">
        <f t="shared" si="5"/>
        <v>21212398</v>
      </c>
      <c r="AE76" s="2">
        <f t="shared" si="6"/>
        <v>0</v>
      </c>
    </row>
    <row r="77" spans="1:41" s="19" customFormat="1" ht="12" hidden="1">
      <c r="A77" s="19" t="s">
        <v>395</v>
      </c>
      <c r="C77" s="19" t="s">
        <v>179</v>
      </c>
      <c r="E77" s="19">
        <v>46615</v>
      </c>
      <c r="G77" s="2">
        <v>1280912</v>
      </c>
      <c r="H77" s="2"/>
      <c r="I77" s="2"/>
      <c r="J77" s="2"/>
      <c r="K77" s="30">
        <f t="shared" si="4"/>
        <v>0</v>
      </c>
      <c r="L77" s="2"/>
      <c r="M77" s="2">
        <v>1280912</v>
      </c>
      <c r="N77" s="2"/>
      <c r="O77" s="59">
        <f t="shared" si="0"/>
        <v>0</v>
      </c>
      <c r="P77" s="2"/>
      <c r="Q77" s="2"/>
      <c r="R77" s="2"/>
      <c r="S77" s="2"/>
      <c r="T77" s="2"/>
      <c r="U77" s="2"/>
      <c r="V77" s="2"/>
      <c r="W77" s="2">
        <v>24449</v>
      </c>
      <c r="X77" s="2"/>
      <c r="Y77" s="2"/>
      <c r="Z77" s="2"/>
      <c r="AA77" s="2">
        <v>1256463</v>
      </c>
      <c r="AB77" s="2"/>
      <c r="AC77" s="31">
        <f t="shared" si="5"/>
        <v>1280912</v>
      </c>
      <c r="AE77" s="2">
        <f t="shared" si="6"/>
        <v>0</v>
      </c>
      <c r="AG77" s="63" t="s">
        <v>373</v>
      </c>
    </row>
    <row r="78" spans="1:41" s="60" customFormat="1" ht="12" hidden="1">
      <c r="A78" s="80" t="s">
        <v>180</v>
      </c>
      <c r="C78" s="60" t="s">
        <v>181</v>
      </c>
      <c r="E78" s="60">
        <v>46730</v>
      </c>
      <c r="G78" s="13"/>
      <c r="H78" s="13"/>
      <c r="I78" s="13"/>
      <c r="J78" s="13"/>
      <c r="K78" s="30">
        <f t="shared" si="4"/>
        <v>0</v>
      </c>
      <c r="L78" s="13"/>
      <c r="M78" s="13"/>
      <c r="N78" s="13"/>
      <c r="O78" s="59">
        <f t="shared" ref="O78:O126" si="7">+S78-Q78</f>
        <v>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90">
        <f t="shared" si="5"/>
        <v>0</v>
      </c>
      <c r="AE78" s="13">
        <f t="shared" si="6"/>
        <v>0</v>
      </c>
      <c r="AG78" s="80" t="s">
        <v>410</v>
      </c>
    </row>
    <row r="79" spans="1:41" s="60" customFormat="1" ht="12" hidden="1">
      <c r="A79" s="80" t="s">
        <v>412</v>
      </c>
      <c r="C79" s="60" t="s">
        <v>183</v>
      </c>
      <c r="E79" s="60">
        <v>125690</v>
      </c>
      <c r="G79" s="13"/>
      <c r="H79" s="13"/>
      <c r="I79" s="13"/>
      <c r="J79" s="13"/>
      <c r="K79" s="30">
        <f t="shared" si="4"/>
        <v>0</v>
      </c>
      <c r="L79" s="13"/>
      <c r="M79" s="13"/>
      <c r="N79" s="13"/>
      <c r="O79" s="59">
        <f t="shared" si="7"/>
        <v>0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90">
        <f t="shared" si="5"/>
        <v>0</v>
      </c>
      <c r="AE79" s="13">
        <f t="shared" si="6"/>
        <v>0</v>
      </c>
      <c r="AG79" s="80" t="s">
        <v>414</v>
      </c>
    </row>
    <row r="80" spans="1:41" s="19" customFormat="1" ht="12">
      <c r="A80" s="19" t="s">
        <v>184</v>
      </c>
      <c r="C80" s="19" t="s">
        <v>185</v>
      </c>
      <c r="E80" s="19">
        <v>46839</v>
      </c>
      <c r="G80" s="2">
        <v>1638277</v>
      </c>
      <c r="H80" s="2"/>
      <c r="I80" s="2">
        <v>0</v>
      </c>
      <c r="J80" s="2"/>
      <c r="K80" s="30">
        <f t="shared" si="4"/>
        <v>488871</v>
      </c>
      <c r="L80" s="2"/>
      <c r="M80" s="2">
        <v>2127148</v>
      </c>
      <c r="N80" s="2"/>
      <c r="O80" s="59">
        <f t="shared" si="7"/>
        <v>1038365</v>
      </c>
      <c r="P80" s="2"/>
      <c r="Q80" s="2">
        <v>0</v>
      </c>
      <c r="R80" s="2"/>
      <c r="S80" s="2">
        <v>1038365</v>
      </c>
      <c r="T80" s="2"/>
      <c r="U80" s="2"/>
      <c r="V80" s="2"/>
      <c r="W80" s="2">
        <v>4913</v>
      </c>
      <c r="X80" s="2"/>
      <c r="Y80" s="2">
        <v>0</v>
      </c>
      <c r="Z80" s="2"/>
      <c r="AA80" s="2">
        <v>1083870</v>
      </c>
      <c r="AB80" s="2"/>
      <c r="AC80" s="31">
        <f t="shared" si="5"/>
        <v>1088783</v>
      </c>
      <c r="AE80" s="2">
        <f t="shared" si="6"/>
        <v>0</v>
      </c>
    </row>
    <row r="81" spans="1:33" s="19" customFormat="1" ht="12">
      <c r="A81" s="2" t="s">
        <v>433</v>
      </c>
      <c r="C81" s="19" t="s">
        <v>186</v>
      </c>
      <c r="E81" s="19">
        <v>46938</v>
      </c>
      <c r="G81" s="2">
        <v>13810990</v>
      </c>
      <c r="H81" s="2"/>
      <c r="I81" s="2">
        <v>0</v>
      </c>
      <c r="J81" s="2"/>
      <c r="K81" s="30">
        <f t="shared" si="4"/>
        <v>11362554</v>
      </c>
      <c r="L81" s="2"/>
      <c r="M81" s="2">
        <v>25173544</v>
      </c>
      <c r="N81" s="2"/>
      <c r="O81" s="59">
        <f t="shared" si="7"/>
        <v>6931809</v>
      </c>
      <c r="P81" s="2"/>
      <c r="Q81" s="2">
        <v>3108469</v>
      </c>
      <c r="R81" s="2"/>
      <c r="S81" s="2">
        <v>10040278</v>
      </c>
      <c r="T81" s="2"/>
      <c r="U81" s="2"/>
      <c r="V81" s="2"/>
      <c r="W81" s="2">
        <v>2827659</v>
      </c>
      <c r="X81" s="2"/>
      <c r="Y81" s="2">
        <v>0</v>
      </c>
      <c r="Z81" s="2"/>
      <c r="AA81" s="2">
        <v>12305607</v>
      </c>
      <c r="AB81" s="2"/>
      <c r="AC81" s="31">
        <f t="shared" si="5"/>
        <v>15133266</v>
      </c>
      <c r="AE81" s="2">
        <f t="shared" si="6"/>
        <v>0</v>
      </c>
      <c r="AG81" s="60" t="s">
        <v>409</v>
      </c>
    </row>
    <row r="82" spans="1:33" s="19" customFormat="1">
      <c r="A82" s="19" t="s">
        <v>188</v>
      </c>
      <c r="C82" s="19" t="s">
        <v>189</v>
      </c>
      <c r="E82" s="19">
        <v>125682</v>
      </c>
      <c r="G82" s="2">
        <v>881172</v>
      </c>
      <c r="H82" s="2"/>
      <c r="I82" s="2">
        <v>0</v>
      </c>
      <c r="J82" s="2"/>
      <c r="K82" s="30">
        <f t="shared" si="4"/>
        <v>109100</v>
      </c>
      <c r="L82" s="2"/>
      <c r="M82" s="2">
        <v>990272</v>
      </c>
      <c r="N82" s="2"/>
      <c r="O82" s="59">
        <f t="shared" si="7"/>
        <v>107849</v>
      </c>
      <c r="P82" s="2"/>
      <c r="Q82" s="2">
        <v>24329</v>
      </c>
      <c r="R82" s="2"/>
      <c r="S82" s="2">
        <v>132178</v>
      </c>
      <c r="T82" s="2"/>
      <c r="U82" s="2"/>
      <c r="V82" s="2"/>
      <c r="W82" s="2">
        <v>0</v>
      </c>
      <c r="X82" s="2"/>
      <c r="Y82" s="2">
        <v>0</v>
      </c>
      <c r="Z82" s="2"/>
      <c r="AA82" s="2">
        <v>858094</v>
      </c>
      <c r="AB82" s="2"/>
      <c r="AC82" s="31">
        <f t="shared" si="5"/>
        <v>858094</v>
      </c>
      <c r="AE82" s="2">
        <f t="shared" si="6"/>
        <v>0</v>
      </c>
      <c r="AF82"/>
      <c r="AG82"/>
    </row>
    <row r="83" spans="1:33" s="19" customFormat="1" ht="12" hidden="1">
      <c r="A83" s="72" t="s">
        <v>393</v>
      </c>
      <c r="C83" s="19" t="s">
        <v>191</v>
      </c>
      <c r="E83" s="19">
        <v>47159</v>
      </c>
      <c r="G83" s="2"/>
      <c r="H83" s="2"/>
      <c r="I83" s="2"/>
      <c r="J83" s="2"/>
      <c r="K83" s="30">
        <f t="shared" si="4"/>
        <v>0</v>
      </c>
      <c r="L83" s="2"/>
      <c r="M83" s="2"/>
      <c r="N83" s="2"/>
      <c r="O83" s="59">
        <f t="shared" si="7"/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1">
        <f t="shared" si="5"/>
        <v>0</v>
      </c>
      <c r="AE83" s="2">
        <f t="shared" si="6"/>
        <v>0</v>
      </c>
      <c r="AG83" s="72" t="s">
        <v>394</v>
      </c>
    </row>
    <row r="84" spans="1:33" s="19" customFormat="1" ht="12">
      <c r="A84" s="19" t="s">
        <v>192</v>
      </c>
      <c r="C84" s="19" t="s">
        <v>193</v>
      </c>
      <c r="E84" s="19">
        <v>47233</v>
      </c>
      <c r="G84" s="2">
        <v>3286102</v>
      </c>
      <c r="H84" s="2"/>
      <c r="I84" s="2">
        <v>0</v>
      </c>
      <c r="J84" s="2"/>
      <c r="K84" s="30">
        <f t="shared" si="4"/>
        <v>264796</v>
      </c>
      <c r="L84" s="2"/>
      <c r="M84" s="2">
        <v>3550898</v>
      </c>
      <c r="N84" s="2"/>
      <c r="O84" s="59">
        <f t="shared" si="7"/>
        <v>1759625</v>
      </c>
      <c r="P84" s="2"/>
      <c r="Q84" s="2">
        <v>77903</v>
      </c>
      <c r="R84" s="2"/>
      <c r="S84" s="2">
        <v>1837528</v>
      </c>
      <c r="T84" s="2"/>
      <c r="U84" s="2"/>
      <c r="V84" s="2"/>
      <c r="W84" s="2">
        <v>23101</v>
      </c>
      <c r="X84" s="2"/>
      <c r="Y84" s="2">
        <v>0</v>
      </c>
      <c r="Z84" s="2"/>
      <c r="AA84" s="2">
        <v>1690269</v>
      </c>
      <c r="AB84" s="2"/>
      <c r="AC84" s="31">
        <f t="shared" si="5"/>
        <v>1713370</v>
      </c>
      <c r="AE84" s="2">
        <f t="shared" si="6"/>
        <v>0</v>
      </c>
    </row>
    <row r="85" spans="1:33" s="19" customFormat="1" ht="12">
      <c r="A85" s="19" t="s">
        <v>194</v>
      </c>
      <c r="C85" s="19" t="s">
        <v>195</v>
      </c>
      <c r="E85" s="19">
        <v>47324</v>
      </c>
      <c r="G85" s="2">
        <v>1173595</v>
      </c>
      <c r="H85" s="2"/>
      <c r="I85" s="2">
        <v>0</v>
      </c>
      <c r="J85" s="2"/>
      <c r="K85" s="30">
        <f t="shared" si="4"/>
        <v>14998289</v>
      </c>
      <c r="L85" s="2"/>
      <c r="M85" s="2">
        <v>16171884</v>
      </c>
      <c r="N85" s="2"/>
      <c r="O85" s="59">
        <f t="shared" si="7"/>
        <v>6417308</v>
      </c>
      <c r="P85" s="2"/>
      <c r="Q85" s="2">
        <v>2394234</v>
      </c>
      <c r="R85" s="2"/>
      <c r="S85" s="2">
        <v>8811542</v>
      </c>
      <c r="T85" s="2"/>
      <c r="U85" s="2"/>
      <c r="V85" s="2"/>
      <c r="W85" s="2">
        <v>864346</v>
      </c>
      <c r="X85" s="2"/>
      <c r="Y85" s="2">
        <v>0</v>
      </c>
      <c r="Z85" s="2"/>
      <c r="AA85" s="2">
        <v>6495996</v>
      </c>
      <c r="AB85" s="2"/>
      <c r="AC85" s="31">
        <f t="shared" si="5"/>
        <v>7360342</v>
      </c>
      <c r="AE85" s="2">
        <f t="shared" si="6"/>
        <v>0</v>
      </c>
    </row>
    <row r="86" spans="1:33" s="19" customFormat="1" ht="12">
      <c r="A86" s="19" t="s">
        <v>196</v>
      </c>
      <c r="C86" s="19" t="s">
        <v>197</v>
      </c>
      <c r="E86" s="19">
        <v>47407</v>
      </c>
      <c r="G86" s="2">
        <v>887177</v>
      </c>
      <c r="H86" s="2"/>
      <c r="I86" s="2">
        <v>0</v>
      </c>
      <c r="J86" s="2"/>
      <c r="K86" s="30">
        <f t="shared" si="4"/>
        <v>297221</v>
      </c>
      <c r="L86" s="2"/>
      <c r="M86" s="2">
        <v>1184398</v>
      </c>
      <c r="N86" s="2"/>
      <c r="O86" s="59">
        <f t="shared" si="7"/>
        <v>620279</v>
      </c>
      <c r="P86" s="2"/>
      <c r="Q86" s="2">
        <v>0</v>
      </c>
      <c r="R86" s="2"/>
      <c r="S86" s="2">
        <v>620279</v>
      </c>
      <c r="T86" s="2"/>
      <c r="U86" s="2"/>
      <c r="V86" s="2"/>
      <c r="W86" s="2">
        <v>14724</v>
      </c>
      <c r="X86" s="2"/>
      <c r="Y86" s="2">
        <v>0</v>
      </c>
      <c r="Z86" s="2"/>
      <c r="AA86" s="2">
        <v>549395</v>
      </c>
      <c r="AB86" s="2"/>
      <c r="AC86" s="31">
        <f t="shared" si="5"/>
        <v>564119</v>
      </c>
      <c r="AE86" s="2">
        <f t="shared" si="6"/>
        <v>0</v>
      </c>
    </row>
    <row r="87" spans="1:33" s="19" customFormat="1" ht="12">
      <c r="A87" s="19" t="s">
        <v>198</v>
      </c>
      <c r="C87" s="19" t="s">
        <v>23</v>
      </c>
      <c r="E87" s="19">
        <v>47480</v>
      </c>
      <c r="G87" s="2">
        <v>1279497</v>
      </c>
      <c r="H87" s="2"/>
      <c r="I87" s="2">
        <v>0</v>
      </c>
      <c r="J87" s="2"/>
      <c r="K87" s="30">
        <f t="shared" si="4"/>
        <v>382073</v>
      </c>
      <c r="L87" s="2"/>
      <c r="M87" s="2">
        <v>1661570</v>
      </c>
      <c r="N87" s="2"/>
      <c r="O87" s="59">
        <f t="shared" si="7"/>
        <v>246518</v>
      </c>
      <c r="P87" s="2"/>
      <c r="Q87" s="2">
        <v>218385</v>
      </c>
      <c r="R87" s="2"/>
      <c r="S87" s="2">
        <v>464903</v>
      </c>
      <c r="T87" s="2"/>
      <c r="U87" s="2"/>
      <c r="V87" s="2"/>
      <c r="W87" s="2">
        <v>73020</v>
      </c>
      <c r="X87" s="2"/>
      <c r="Y87" s="2">
        <v>0</v>
      </c>
      <c r="Z87" s="2"/>
      <c r="AA87" s="2">
        <v>1123647</v>
      </c>
      <c r="AB87" s="2"/>
      <c r="AC87" s="31">
        <f t="shared" si="5"/>
        <v>1196667</v>
      </c>
      <c r="AE87" s="2">
        <f t="shared" si="6"/>
        <v>0</v>
      </c>
    </row>
    <row r="88" spans="1:33" s="19" customFormat="1" ht="12">
      <c r="A88" s="19" t="s">
        <v>199</v>
      </c>
      <c r="C88" s="19" t="s">
        <v>200</v>
      </c>
      <c r="E88" s="19">
        <v>47779</v>
      </c>
      <c r="G88" s="2">
        <v>3027034</v>
      </c>
      <c r="H88" s="2"/>
      <c r="I88" s="2">
        <v>0</v>
      </c>
      <c r="J88" s="2"/>
      <c r="K88" s="30">
        <f t="shared" si="4"/>
        <v>317111</v>
      </c>
      <c r="L88" s="2"/>
      <c r="M88" s="2">
        <v>3344145</v>
      </c>
      <c r="N88" s="2"/>
      <c r="O88" s="59">
        <f t="shared" si="7"/>
        <v>506349</v>
      </c>
      <c r="P88" s="2"/>
      <c r="Q88" s="2">
        <v>7038</v>
      </c>
      <c r="R88" s="2"/>
      <c r="S88" s="2">
        <v>513387</v>
      </c>
      <c r="T88" s="2"/>
      <c r="U88" s="2"/>
      <c r="V88" s="2"/>
      <c r="W88" s="2">
        <v>40223</v>
      </c>
      <c r="X88" s="2"/>
      <c r="Y88" s="2">
        <v>0</v>
      </c>
      <c r="Z88" s="2"/>
      <c r="AA88" s="2">
        <v>2790535</v>
      </c>
      <c r="AB88" s="2"/>
      <c r="AC88" s="31">
        <f t="shared" si="5"/>
        <v>2830758</v>
      </c>
      <c r="AE88" s="2">
        <f t="shared" si="6"/>
        <v>0</v>
      </c>
    </row>
    <row r="89" spans="1:33" s="19" customFormat="1" ht="12">
      <c r="A89" s="19" t="s">
        <v>201</v>
      </c>
      <c r="C89" s="19" t="s">
        <v>202</v>
      </c>
      <c r="E89" s="19">
        <v>47811</v>
      </c>
      <c r="G89" s="2">
        <v>949097</v>
      </c>
      <c r="H89" s="2"/>
      <c r="I89" s="2">
        <v>0</v>
      </c>
      <c r="J89" s="2"/>
      <c r="K89" s="30">
        <f t="shared" si="4"/>
        <v>45910</v>
      </c>
      <c r="L89" s="2"/>
      <c r="M89" s="2">
        <v>995007</v>
      </c>
      <c r="N89" s="2"/>
      <c r="O89" s="59">
        <f t="shared" si="7"/>
        <v>461345</v>
      </c>
      <c r="P89" s="2"/>
      <c r="Q89" s="2">
        <v>0</v>
      </c>
      <c r="R89" s="2"/>
      <c r="S89" s="2">
        <v>461345</v>
      </c>
      <c r="T89" s="2"/>
      <c r="U89" s="2"/>
      <c r="V89" s="2"/>
      <c r="W89" s="2">
        <v>51848</v>
      </c>
      <c r="X89" s="2"/>
      <c r="Y89" s="2">
        <v>0</v>
      </c>
      <c r="Z89" s="2"/>
      <c r="AA89" s="2">
        <v>481814</v>
      </c>
      <c r="AB89" s="2"/>
      <c r="AC89" s="31">
        <f t="shared" si="5"/>
        <v>533662</v>
      </c>
      <c r="AE89" s="2">
        <f t="shared" si="6"/>
        <v>0</v>
      </c>
    </row>
    <row r="90" spans="1:33" s="19" customFormat="1" ht="12">
      <c r="A90" s="19" t="s">
        <v>203</v>
      </c>
      <c r="C90" s="19" t="s">
        <v>158</v>
      </c>
      <c r="E90" s="19">
        <v>47860</v>
      </c>
      <c r="G90" s="2">
        <v>1497600</v>
      </c>
      <c r="H90" s="2"/>
      <c r="I90" s="2">
        <v>0</v>
      </c>
      <c r="J90" s="2"/>
      <c r="K90" s="30">
        <f t="shared" si="4"/>
        <v>353999</v>
      </c>
      <c r="L90" s="2"/>
      <c r="M90" s="2">
        <v>1851599</v>
      </c>
      <c r="N90" s="2"/>
      <c r="O90" s="59">
        <f t="shared" si="7"/>
        <v>1191053</v>
      </c>
      <c r="P90" s="2"/>
      <c r="Q90" s="2">
        <v>167420</v>
      </c>
      <c r="R90" s="2"/>
      <c r="S90" s="2">
        <v>1358473</v>
      </c>
      <c r="T90" s="2"/>
      <c r="U90" s="2"/>
      <c r="V90" s="2"/>
      <c r="W90" s="2">
        <v>93395</v>
      </c>
      <c r="X90" s="2"/>
      <c r="Y90" s="2">
        <v>0</v>
      </c>
      <c r="Z90" s="2"/>
      <c r="AA90" s="2">
        <f>450313-50582</f>
        <v>399731</v>
      </c>
      <c r="AB90" s="2"/>
      <c r="AC90" s="31">
        <f t="shared" si="5"/>
        <v>493126</v>
      </c>
      <c r="AE90" s="2">
        <f t="shared" si="6"/>
        <v>0</v>
      </c>
      <c r="AG90" s="60"/>
    </row>
    <row r="91" spans="1:33" s="19" customFormat="1" ht="12">
      <c r="A91" s="19" t="s">
        <v>204</v>
      </c>
      <c r="C91" s="19" t="s">
        <v>205</v>
      </c>
      <c r="E91" s="19">
        <v>47910</v>
      </c>
      <c r="G91" s="2">
        <v>181363</v>
      </c>
      <c r="H91" s="2"/>
      <c r="I91" s="2">
        <v>0</v>
      </c>
      <c r="J91" s="2"/>
      <c r="K91" s="30">
        <f t="shared" si="4"/>
        <v>28297</v>
      </c>
      <c r="L91" s="2"/>
      <c r="M91" s="2">
        <v>209660</v>
      </c>
      <c r="N91" s="2"/>
      <c r="O91" s="59">
        <f t="shared" si="7"/>
        <v>98891</v>
      </c>
      <c r="P91" s="2"/>
      <c r="Q91" s="2">
        <v>0</v>
      </c>
      <c r="R91" s="2"/>
      <c r="S91" s="2">
        <v>98891</v>
      </c>
      <c r="T91" s="2"/>
      <c r="U91" s="2"/>
      <c r="V91" s="2"/>
      <c r="W91" s="2">
        <v>3766</v>
      </c>
      <c r="X91" s="2"/>
      <c r="Y91" s="2">
        <v>0</v>
      </c>
      <c r="Z91" s="2"/>
      <c r="AA91" s="2">
        <f>109360-2357</f>
        <v>107003</v>
      </c>
      <c r="AB91" s="2"/>
      <c r="AC91" s="31">
        <f t="shared" si="5"/>
        <v>110769</v>
      </c>
      <c r="AE91" s="2">
        <f t="shared" si="6"/>
        <v>0</v>
      </c>
    </row>
    <row r="92" spans="1:33" s="19" customFormat="1" ht="12">
      <c r="A92" s="13" t="s">
        <v>206</v>
      </c>
      <c r="B92" s="13"/>
      <c r="C92" s="13" t="s">
        <v>207</v>
      </c>
      <c r="G92" s="2">
        <v>1096993</v>
      </c>
      <c r="H92" s="2"/>
      <c r="I92" s="2">
        <v>0</v>
      </c>
      <c r="J92" s="2"/>
      <c r="K92" s="30">
        <f>+M92-I92-G92</f>
        <v>2462257</v>
      </c>
      <c r="L92" s="2"/>
      <c r="M92" s="2">
        <v>3559250</v>
      </c>
      <c r="N92" s="2"/>
      <c r="O92" s="59">
        <f t="shared" si="7"/>
        <v>1111138</v>
      </c>
      <c r="P92" s="2"/>
      <c r="Q92" s="2">
        <v>2280845</v>
      </c>
      <c r="R92" s="2"/>
      <c r="S92" s="2">
        <v>3391983</v>
      </c>
      <c r="T92" s="2"/>
      <c r="U92" s="2"/>
      <c r="V92" s="2"/>
      <c r="W92" s="2">
        <v>49460</v>
      </c>
      <c r="X92" s="2"/>
      <c r="Y92" s="2">
        <v>0</v>
      </c>
      <c r="Z92" s="2"/>
      <c r="AA92" s="2">
        <f>123332-5525</f>
        <v>117807</v>
      </c>
      <c r="AB92" s="2"/>
      <c r="AC92" s="31">
        <f>+AA92+Y92+U92+W92</f>
        <v>167267</v>
      </c>
      <c r="AE92" s="2">
        <f>+G92+I92+K92-O92-Q92-AA92-Y92-U92-W92</f>
        <v>0</v>
      </c>
    </row>
    <row r="93" spans="1:33" s="19" customFormat="1" ht="12">
      <c r="A93" s="19" t="s">
        <v>208</v>
      </c>
      <c r="C93" s="19" t="s">
        <v>209</v>
      </c>
      <c r="E93" s="19">
        <v>48058</v>
      </c>
      <c r="G93" s="2">
        <v>840165</v>
      </c>
      <c r="H93" s="2"/>
      <c r="I93" s="2">
        <v>0</v>
      </c>
      <c r="J93" s="2"/>
      <c r="K93" s="30">
        <f t="shared" si="4"/>
        <v>74567</v>
      </c>
      <c r="L93" s="2"/>
      <c r="M93" s="2">
        <v>914732</v>
      </c>
      <c r="N93" s="2"/>
      <c r="O93" s="59">
        <f t="shared" si="7"/>
        <v>341822</v>
      </c>
      <c r="P93" s="2"/>
      <c r="Q93" s="2">
        <v>0</v>
      </c>
      <c r="R93" s="2"/>
      <c r="S93" s="2">
        <v>341822</v>
      </c>
      <c r="T93" s="2"/>
      <c r="U93" s="2"/>
      <c r="V93" s="2"/>
      <c r="W93" s="2">
        <v>87610</v>
      </c>
      <c r="X93" s="2"/>
      <c r="Y93" s="2">
        <v>0</v>
      </c>
      <c r="Z93" s="2"/>
      <c r="AA93" s="2">
        <f>332559+152741</f>
        <v>485300</v>
      </c>
      <c r="AB93" s="2"/>
      <c r="AC93" s="31">
        <f t="shared" si="5"/>
        <v>572910</v>
      </c>
      <c r="AE93" s="2">
        <f t="shared" si="6"/>
        <v>0</v>
      </c>
    </row>
    <row r="94" spans="1:33" s="19" customFormat="1" ht="12">
      <c r="A94" s="19" t="s">
        <v>210</v>
      </c>
      <c r="C94" s="19" t="s">
        <v>154</v>
      </c>
      <c r="E94" s="19">
        <v>48108</v>
      </c>
      <c r="G94" s="2">
        <v>2787302</v>
      </c>
      <c r="H94" s="2"/>
      <c r="I94" s="2">
        <v>0</v>
      </c>
      <c r="J94" s="2"/>
      <c r="K94" s="30">
        <f t="shared" si="4"/>
        <v>1494858</v>
      </c>
      <c r="L94" s="2"/>
      <c r="M94" s="2">
        <v>4282160</v>
      </c>
      <c r="N94" s="2"/>
      <c r="O94" s="59">
        <f t="shared" si="7"/>
        <v>1080462</v>
      </c>
      <c r="P94" s="2"/>
      <c r="Q94" s="2">
        <v>79510</v>
      </c>
      <c r="R94" s="2"/>
      <c r="S94" s="2">
        <v>1159972</v>
      </c>
      <c r="T94" s="2"/>
      <c r="U94" s="2"/>
      <c r="V94" s="2"/>
      <c r="W94" s="2">
        <v>381343</v>
      </c>
      <c r="X94" s="2"/>
      <c r="Y94" s="2">
        <v>0</v>
      </c>
      <c r="Z94" s="2"/>
      <c r="AA94" s="2">
        <f>2672539+68306</f>
        <v>2740845</v>
      </c>
      <c r="AB94" s="2"/>
      <c r="AC94" s="31">
        <f t="shared" si="5"/>
        <v>3122188</v>
      </c>
      <c r="AE94" s="2">
        <f t="shared" si="6"/>
        <v>0</v>
      </c>
    </row>
    <row r="95" spans="1:33" s="19" customFormat="1" ht="12">
      <c r="A95" s="19" t="s">
        <v>211</v>
      </c>
      <c r="C95" s="19" t="s">
        <v>212</v>
      </c>
      <c r="E95" s="19">
        <v>48199</v>
      </c>
      <c r="G95" s="2">
        <v>7813956</v>
      </c>
      <c r="H95" s="2"/>
      <c r="I95" s="2">
        <v>0</v>
      </c>
      <c r="J95" s="2"/>
      <c r="K95" s="30">
        <f t="shared" si="4"/>
        <v>1383263</v>
      </c>
      <c r="L95" s="2"/>
      <c r="M95" s="2">
        <v>9197219</v>
      </c>
      <c r="N95" s="2"/>
      <c r="O95" s="59">
        <f t="shared" si="7"/>
        <v>2016973</v>
      </c>
      <c r="P95" s="2"/>
      <c r="Q95" s="2">
        <v>507518</v>
      </c>
      <c r="R95" s="2"/>
      <c r="S95" s="2">
        <v>2524491</v>
      </c>
      <c r="T95" s="2"/>
      <c r="U95" s="2"/>
      <c r="V95" s="2"/>
      <c r="W95" s="2">
        <v>994199</v>
      </c>
      <c r="X95" s="2"/>
      <c r="Y95" s="2">
        <v>0</v>
      </c>
      <c r="Z95" s="2"/>
      <c r="AA95" s="2">
        <f>2876576+2801953</f>
        <v>5678529</v>
      </c>
      <c r="AB95" s="2"/>
      <c r="AC95" s="31">
        <f t="shared" si="5"/>
        <v>6672728</v>
      </c>
      <c r="AE95" s="2">
        <f t="shared" si="6"/>
        <v>0</v>
      </c>
    </row>
    <row r="96" spans="1:33" s="19" customFormat="1" ht="12">
      <c r="A96" s="19" t="s">
        <v>166</v>
      </c>
      <c r="C96" s="19" t="s">
        <v>167</v>
      </c>
      <c r="E96" s="19">
        <v>137364</v>
      </c>
      <c r="G96" s="2">
        <v>1484722</v>
      </c>
      <c r="H96" s="2"/>
      <c r="I96" s="2">
        <v>0</v>
      </c>
      <c r="J96" s="2"/>
      <c r="K96" s="30">
        <f t="shared" si="4"/>
        <v>200063</v>
      </c>
      <c r="L96" s="2"/>
      <c r="M96" s="2">
        <v>1684785</v>
      </c>
      <c r="N96" s="2"/>
      <c r="O96" s="59">
        <f t="shared" si="7"/>
        <v>1416088</v>
      </c>
      <c r="P96" s="2"/>
      <c r="Q96" s="2">
        <v>5160</v>
      </c>
      <c r="R96" s="2"/>
      <c r="S96" s="2">
        <v>1421248</v>
      </c>
      <c r="T96" s="2"/>
      <c r="U96" s="2"/>
      <c r="V96" s="2"/>
      <c r="W96" s="2">
        <v>28385</v>
      </c>
      <c r="X96" s="2"/>
      <c r="Y96" s="2">
        <v>0</v>
      </c>
      <c r="Z96" s="2"/>
      <c r="AA96" s="2">
        <f>272282-37130</f>
        <v>235152</v>
      </c>
      <c r="AB96" s="2"/>
      <c r="AC96" s="31">
        <f t="shared" si="5"/>
        <v>263537</v>
      </c>
      <c r="AE96" s="2">
        <f t="shared" si="6"/>
        <v>0</v>
      </c>
    </row>
    <row r="97" spans="1:33" s="19" customFormat="1" ht="12">
      <c r="A97" s="19" t="s">
        <v>213</v>
      </c>
      <c r="C97" s="19" t="s">
        <v>214</v>
      </c>
      <c r="E97" s="19">
        <v>48280</v>
      </c>
      <c r="G97" s="2">
        <v>5306344</v>
      </c>
      <c r="H97" s="2"/>
      <c r="I97" s="2">
        <v>0</v>
      </c>
      <c r="J97" s="2"/>
      <c r="K97" s="30">
        <f t="shared" si="4"/>
        <v>3355228</v>
      </c>
      <c r="L97" s="2"/>
      <c r="M97" s="2">
        <v>8661572</v>
      </c>
      <c r="N97" s="2"/>
      <c r="O97" s="59">
        <f t="shared" si="7"/>
        <v>2075947</v>
      </c>
      <c r="P97" s="2"/>
      <c r="Q97" s="2">
        <v>2152966</v>
      </c>
      <c r="R97" s="2"/>
      <c r="S97" s="2">
        <v>4228913</v>
      </c>
      <c r="T97" s="2"/>
      <c r="U97" s="2"/>
      <c r="V97" s="2"/>
      <c r="W97" s="2">
        <f>1090024+19245</f>
        <v>1109269</v>
      </c>
      <c r="X97" s="2"/>
      <c r="Y97" s="2">
        <v>0</v>
      </c>
      <c r="Z97" s="2"/>
      <c r="AA97" s="2">
        <f>2269971+893543+159876</f>
        <v>3323390</v>
      </c>
      <c r="AB97" s="2"/>
      <c r="AC97" s="31">
        <f t="shared" si="5"/>
        <v>4432659</v>
      </c>
      <c r="AE97" s="2">
        <f t="shared" si="6"/>
        <v>0</v>
      </c>
    </row>
    <row r="98" spans="1:33" s="19" customFormat="1" ht="12">
      <c r="A98" s="19" t="s">
        <v>215</v>
      </c>
      <c r="C98" s="19" t="s">
        <v>216</v>
      </c>
      <c r="E98" s="19">
        <v>48454</v>
      </c>
      <c r="G98" s="2">
        <v>2138342</v>
      </c>
      <c r="H98" s="2"/>
      <c r="I98" s="2">
        <v>0</v>
      </c>
      <c r="J98" s="2"/>
      <c r="K98" s="30">
        <f t="shared" si="4"/>
        <v>175319</v>
      </c>
      <c r="L98" s="2"/>
      <c r="M98" s="2">
        <v>2313661</v>
      </c>
      <c r="N98" s="2"/>
      <c r="O98" s="59">
        <f t="shared" si="7"/>
        <v>211018</v>
      </c>
      <c r="P98" s="2"/>
      <c r="Q98" s="2">
        <v>52170</v>
      </c>
      <c r="R98" s="2"/>
      <c r="S98" s="2">
        <v>263188</v>
      </c>
      <c r="T98" s="2"/>
      <c r="U98" s="2"/>
      <c r="V98" s="2"/>
      <c r="W98" s="2">
        <v>74870</v>
      </c>
      <c r="X98" s="2"/>
      <c r="Y98" s="2">
        <v>0</v>
      </c>
      <c r="Z98" s="2"/>
      <c r="AA98" s="2">
        <f>1857446+118157</f>
        <v>1975603</v>
      </c>
      <c r="AB98" s="2"/>
      <c r="AC98" s="31">
        <f t="shared" si="5"/>
        <v>2050473</v>
      </c>
      <c r="AE98" s="2">
        <f t="shared" si="6"/>
        <v>0</v>
      </c>
    </row>
    <row r="99" spans="1:33" s="19" customFormat="1" ht="12" hidden="1">
      <c r="A99" s="13" t="s">
        <v>419</v>
      </c>
      <c r="C99" s="19" t="s">
        <v>218</v>
      </c>
      <c r="E99" s="19">
        <v>48546</v>
      </c>
      <c r="G99" s="2">
        <v>1185697</v>
      </c>
      <c r="H99" s="2"/>
      <c r="I99" s="2">
        <v>31513</v>
      </c>
      <c r="J99" s="2"/>
      <c r="K99" s="30">
        <f t="shared" si="4"/>
        <v>0</v>
      </c>
      <c r="L99" s="2"/>
      <c r="M99" s="2">
        <v>1217210</v>
      </c>
      <c r="N99" s="2"/>
      <c r="O99" s="59">
        <f t="shared" si="7"/>
        <v>0</v>
      </c>
      <c r="P99" s="2"/>
      <c r="Q99" s="2"/>
      <c r="R99" s="2"/>
      <c r="S99" s="2"/>
      <c r="T99" s="2"/>
      <c r="U99" s="2"/>
      <c r="V99" s="2"/>
      <c r="W99" s="2">
        <f>9113+31513</f>
        <v>40626</v>
      </c>
      <c r="X99" s="2"/>
      <c r="Y99" s="2"/>
      <c r="Z99" s="2"/>
      <c r="AA99" s="2">
        <f>1159884+16700</f>
        <v>1176584</v>
      </c>
      <c r="AB99" s="2"/>
      <c r="AC99" s="31">
        <f t="shared" si="5"/>
        <v>1217210</v>
      </c>
      <c r="AE99" s="2">
        <f t="shared" si="6"/>
        <v>0</v>
      </c>
      <c r="AG99" s="63" t="s">
        <v>373</v>
      </c>
    </row>
    <row r="100" spans="1:33" s="19" customFormat="1" ht="12">
      <c r="A100" s="19" t="s">
        <v>219</v>
      </c>
      <c r="C100" s="19" t="s">
        <v>220</v>
      </c>
      <c r="E100" s="19">
        <v>48603</v>
      </c>
      <c r="G100" s="2">
        <v>2883782</v>
      </c>
      <c r="H100" s="2"/>
      <c r="I100" s="2">
        <v>0</v>
      </c>
      <c r="J100" s="2"/>
      <c r="K100" s="30">
        <f t="shared" si="4"/>
        <v>86580</v>
      </c>
      <c r="L100" s="2"/>
      <c r="M100" s="2">
        <v>2970362</v>
      </c>
      <c r="N100" s="2"/>
      <c r="O100" s="59">
        <f t="shared" si="7"/>
        <v>1414775</v>
      </c>
      <c r="P100" s="2"/>
      <c r="Q100" s="2">
        <v>700</v>
      </c>
      <c r="R100" s="2"/>
      <c r="S100" s="2">
        <v>1415475</v>
      </c>
      <c r="T100" s="2"/>
      <c r="U100" s="2"/>
      <c r="V100" s="2"/>
      <c r="W100" s="2">
        <f>11540+7497+7045</f>
        <v>26082</v>
      </c>
      <c r="X100" s="2"/>
      <c r="Y100" s="2">
        <v>0</v>
      </c>
      <c r="Z100" s="2"/>
      <c r="AA100" s="2">
        <f>1494411+34394</f>
        <v>1528805</v>
      </c>
      <c r="AB100" s="2"/>
      <c r="AC100" s="31">
        <f t="shared" si="5"/>
        <v>1554887</v>
      </c>
      <c r="AE100" s="2">
        <f t="shared" si="6"/>
        <v>0</v>
      </c>
    </row>
    <row r="101" spans="1:33" s="19" customFormat="1" ht="12" hidden="1">
      <c r="A101" s="2" t="s">
        <v>418</v>
      </c>
      <c r="B101" s="2"/>
      <c r="C101" s="2" t="s">
        <v>236</v>
      </c>
      <c r="G101" s="2">
        <v>5804821</v>
      </c>
      <c r="H101" s="2"/>
      <c r="I101" s="2"/>
      <c r="J101" s="2"/>
      <c r="K101" s="30">
        <f>+M101-I101-G101</f>
        <v>0</v>
      </c>
      <c r="L101" s="2"/>
      <c r="M101" s="2">
        <v>5804821</v>
      </c>
      <c r="N101" s="2"/>
      <c r="O101" s="59">
        <f t="shared" si="7"/>
        <v>0</v>
      </c>
      <c r="P101" s="2"/>
      <c r="Q101" s="2"/>
      <c r="R101" s="2"/>
      <c r="S101" s="2"/>
      <c r="T101" s="2"/>
      <c r="U101" s="2"/>
      <c r="V101" s="2"/>
      <c r="W101" s="2">
        <v>173837</v>
      </c>
      <c r="X101" s="2"/>
      <c r="Y101" s="2"/>
      <c r="Z101" s="2"/>
      <c r="AA101" s="2">
        <f>5738266-107282</f>
        <v>5630984</v>
      </c>
      <c r="AB101" s="2"/>
      <c r="AC101" s="31">
        <f>+AA101+Y101+U101+W101</f>
        <v>5804821</v>
      </c>
      <c r="AE101" s="2">
        <f>+G101+I101+K101-O101-Q101-AA101-Y101-U101-W101</f>
        <v>0</v>
      </c>
      <c r="AG101" s="63" t="s">
        <v>373</v>
      </c>
    </row>
    <row r="102" spans="1:33" s="19" customFormat="1" ht="12">
      <c r="A102" s="19" t="s">
        <v>221</v>
      </c>
      <c r="C102" s="19" t="s">
        <v>222</v>
      </c>
      <c r="E102" s="19">
        <v>48660</v>
      </c>
      <c r="G102" s="2">
        <v>16830808</v>
      </c>
      <c r="H102" s="2"/>
      <c r="I102" s="2">
        <v>0</v>
      </c>
      <c r="J102" s="2"/>
      <c r="K102" s="30">
        <f t="shared" si="4"/>
        <v>2374605</v>
      </c>
      <c r="L102" s="2"/>
      <c r="M102" s="2">
        <v>19205413</v>
      </c>
      <c r="N102" s="2"/>
      <c r="O102" s="59">
        <f t="shared" si="7"/>
        <v>4251586</v>
      </c>
      <c r="P102" s="2"/>
      <c r="Q102" s="2">
        <v>229003</v>
      </c>
      <c r="R102" s="2"/>
      <c r="S102" s="2">
        <v>4480589</v>
      </c>
      <c r="T102" s="2"/>
      <c r="U102" s="2"/>
      <c r="V102" s="2"/>
      <c r="W102" s="2">
        <v>1099079</v>
      </c>
      <c r="X102" s="2"/>
      <c r="Y102" s="2">
        <v>0</v>
      </c>
      <c r="Z102" s="2"/>
      <c r="AA102" s="2">
        <f>11796262+1829483</f>
        <v>13625745</v>
      </c>
      <c r="AB102" s="2"/>
      <c r="AC102" s="31">
        <f t="shared" si="5"/>
        <v>14724824</v>
      </c>
      <c r="AE102" s="2">
        <f t="shared" si="6"/>
        <v>0</v>
      </c>
    </row>
    <row r="103" spans="1:33" s="19" customFormat="1" ht="12">
      <c r="A103" s="19" t="s">
        <v>223</v>
      </c>
      <c r="C103" s="19" t="s">
        <v>224</v>
      </c>
      <c r="E103" s="19">
        <v>125252</v>
      </c>
      <c r="G103" s="2">
        <v>2837168</v>
      </c>
      <c r="H103" s="2"/>
      <c r="I103" s="2">
        <v>0</v>
      </c>
      <c r="J103" s="2"/>
      <c r="K103" s="30">
        <f t="shared" si="4"/>
        <v>1987379</v>
      </c>
      <c r="L103" s="2"/>
      <c r="M103" s="2">
        <v>4824547</v>
      </c>
      <c r="N103" s="2"/>
      <c r="O103" s="59">
        <f t="shared" si="7"/>
        <v>1424073</v>
      </c>
      <c r="P103" s="2"/>
      <c r="Q103" s="2">
        <v>282038</v>
      </c>
      <c r="R103" s="2"/>
      <c r="S103" s="2">
        <v>1706111</v>
      </c>
      <c r="T103" s="2"/>
      <c r="U103" s="2"/>
      <c r="V103" s="2"/>
      <c r="W103" s="2">
        <f>560921+139222</f>
        <v>700143</v>
      </c>
      <c r="X103" s="2"/>
      <c r="Y103" s="2">
        <v>0</v>
      </c>
      <c r="Z103" s="2"/>
      <c r="AA103" s="2">
        <f>2576260-157967</f>
        <v>2418293</v>
      </c>
      <c r="AB103" s="2"/>
      <c r="AC103" s="31">
        <f t="shared" si="5"/>
        <v>3118436</v>
      </c>
      <c r="AE103" s="2">
        <f t="shared" si="6"/>
        <v>0</v>
      </c>
    </row>
    <row r="104" spans="1:33" s="19" customFormat="1" ht="12">
      <c r="A104" s="19" t="s">
        <v>374</v>
      </c>
      <c r="C104" s="19" t="s">
        <v>244</v>
      </c>
      <c r="E104" s="19">
        <v>123257</v>
      </c>
      <c r="G104" s="2">
        <v>1791757</v>
      </c>
      <c r="H104" s="2"/>
      <c r="I104" s="2">
        <v>37449</v>
      </c>
      <c r="J104" s="2"/>
      <c r="K104" s="30">
        <f t="shared" si="4"/>
        <v>507091</v>
      </c>
      <c r="L104" s="2"/>
      <c r="M104" s="2">
        <v>2336297</v>
      </c>
      <c r="N104" s="2"/>
      <c r="O104" s="30">
        <f t="shared" si="7"/>
        <v>1584296</v>
      </c>
      <c r="P104" s="2"/>
      <c r="Q104" s="2">
        <f>59606+600</f>
        <v>60206</v>
      </c>
      <c r="R104" s="2"/>
      <c r="S104" s="2">
        <v>1644502</v>
      </c>
      <c r="T104" s="2"/>
      <c r="U104" s="2"/>
      <c r="V104" s="2"/>
      <c r="W104" s="2">
        <f>80411+33483</f>
        <v>113894</v>
      </c>
      <c r="X104" s="2"/>
      <c r="Y104" s="2">
        <v>0</v>
      </c>
      <c r="Z104" s="2"/>
      <c r="AA104" s="2">
        <f>471364+106537</f>
        <v>577901</v>
      </c>
      <c r="AB104" s="2"/>
      <c r="AC104" s="31">
        <f t="shared" si="5"/>
        <v>691795</v>
      </c>
      <c r="AE104" s="2">
        <f t="shared" si="6"/>
        <v>0</v>
      </c>
    </row>
    <row r="105" spans="1:33" s="19" customFormat="1" ht="12" hidden="1">
      <c r="A105" s="19" t="s">
        <v>413</v>
      </c>
      <c r="C105" s="19" t="s">
        <v>183</v>
      </c>
      <c r="G105" s="2"/>
      <c r="H105" s="2"/>
      <c r="I105" s="2"/>
      <c r="J105" s="2"/>
      <c r="K105" s="30"/>
      <c r="L105" s="2"/>
      <c r="M105" s="2"/>
      <c r="N105" s="2"/>
      <c r="O105" s="5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31"/>
      <c r="AE105" s="2"/>
    </row>
    <row r="106" spans="1:33" s="19" customFormat="1" ht="12" hidden="1">
      <c r="A106" s="19" t="s">
        <v>187</v>
      </c>
      <c r="C106" s="2" t="s">
        <v>275</v>
      </c>
      <c r="E106" s="19">
        <v>124297</v>
      </c>
      <c r="G106" s="2"/>
      <c r="H106" s="2"/>
      <c r="I106" s="2"/>
      <c r="J106" s="2"/>
      <c r="K106" s="30">
        <f t="shared" si="4"/>
        <v>0</v>
      </c>
      <c r="L106" s="2"/>
      <c r="M106" s="2"/>
      <c r="N106" s="2"/>
      <c r="O106" s="59">
        <f t="shared" si="7"/>
        <v>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31">
        <f t="shared" si="5"/>
        <v>0</v>
      </c>
      <c r="AE106" s="2">
        <f t="shared" si="6"/>
        <v>0</v>
      </c>
    </row>
    <row r="107" spans="1:33" s="19" customFormat="1" ht="12" hidden="1">
      <c r="A107" s="19" t="s">
        <v>354</v>
      </c>
      <c r="C107" s="2" t="s">
        <v>363</v>
      </c>
      <c r="E107" s="19">
        <v>123521</v>
      </c>
      <c r="G107" s="2"/>
      <c r="H107" s="2"/>
      <c r="I107" s="2"/>
      <c r="J107" s="2"/>
      <c r="K107" s="30">
        <f t="shared" si="4"/>
        <v>0</v>
      </c>
      <c r="L107" s="2"/>
      <c r="M107" s="2"/>
      <c r="N107" s="2"/>
      <c r="O107" s="59">
        <f t="shared" si="7"/>
        <v>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31">
        <f t="shared" si="5"/>
        <v>0</v>
      </c>
      <c r="AE107" s="2">
        <f t="shared" si="6"/>
        <v>0</v>
      </c>
    </row>
    <row r="108" spans="1:33" s="19" customFormat="1" ht="12">
      <c r="A108" s="19" t="s">
        <v>225</v>
      </c>
      <c r="C108" s="19" t="s">
        <v>226</v>
      </c>
      <c r="E108" s="19">
        <v>125674</v>
      </c>
      <c r="G108" s="2">
        <v>550387</v>
      </c>
      <c r="H108" s="2"/>
      <c r="I108" s="2">
        <v>0</v>
      </c>
      <c r="J108" s="2"/>
      <c r="K108" s="30">
        <f t="shared" si="4"/>
        <v>154226</v>
      </c>
      <c r="L108" s="2"/>
      <c r="M108" s="2">
        <v>704613</v>
      </c>
      <c r="N108" s="2"/>
      <c r="O108" s="59">
        <f t="shared" si="7"/>
        <v>962298</v>
      </c>
      <c r="P108" s="2"/>
      <c r="Q108" s="2">
        <v>44628</v>
      </c>
      <c r="R108" s="2"/>
      <c r="S108" s="2">
        <v>1006926</v>
      </c>
      <c r="T108" s="2"/>
      <c r="U108" s="2"/>
      <c r="V108" s="2"/>
      <c r="W108" s="2">
        <v>305820</v>
      </c>
      <c r="X108" s="2"/>
      <c r="Y108" s="2">
        <v>0</v>
      </c>
      <c r="Z108" s="2"/>
      <c r="AA108" s="2">
        <f>-289634-327284+8785</f>
        <v>-608133</v>
      </c>
      <c r="AB108" s="2"/>
      <c r="AC108" s="31">
        <f t="shared" si="5"/>
        <v>-302313</v>
      </c>
      <c r="AE108" s="2">
        <f t="shared" si="6"/>
        <v>0</v>
      </c>
      <c r="AG108" s="13"/>
    </row>
    <row r="109" spans="1:33" s="19" customFormat="1" ht="12">
      <c r="A109" s="19" t="s">
        <v>227</v>
      </c>
      <c r="C109" s="19" t="s">
        <v>228</v>
      </c>
      <c r="E109" s="19">
        <v>49072</v>
      </c>
      <c r="G109" s="2">
        <v>831917</v>
      </c>
      <c r="H109" s="2"/>
      <c r="I109" s="2">
        <v>0</v>
      </c>
      <c r="J109" s="2"/>
      <c r="K109" s="30">
        <f t="shared" si="4"/>
        <v>48807</v>
      </c>
      <c r="L109" s="2"/>
      <c r="M109" s="2">
        <v>880724</v>
      </c>
      <c r="N109" s="2"/>
      <c r="O109" s="59">
        <f t="shared" si="7"/>
        <v>306501</v>
      </c>
      <c r="P109" s="2"/>
      <c r="Q109" s="2">
        <v>0</v>
      </c>
      <c r="R109" s="2"/>
      <c r="S109" s="2">
        <v>306501</v>
      </c>
      <c r="T109" s="2"/>
      <c r="U109" s="2"/>
      <c r="V109" s="2"/>
      <c r="W109" s="2">
        <v>14884</v>
      </c>
      <c r="X109" s="2"/>
      <c r="Y109" s="2">
        <v>0</v>
      </c>
      <c r="Z109" s="2"/>
      <c r="AA109" s="2">
        <f>421597+137742</f>
        <v>559339</v>
      </c>
      <c r="AB109" s="2"/>
      <c r="AC109" s="31">
        <f t="shared" si="5"/>
        <v>574223</v>
      </c>
      <c r="AE109" s="2">
        <f t="shared" si="6"/>
        <v>0</v>
      </c>
    </row>
    <row r="110" spans="1:33" s="19" customFormat="1" ht="12">
      <c r="A110" s="19" t="s">
        <v>229</v>
      </c>
      <c r="C110" s="19" t="s">
        <v>230</v>
      </c>
      <c r="E110" s="19">
        <v>49163</v>
      </c>
      <c r="G110" s="2">
        <v>183435</v>
      </c>
      <c r="H110" s="2"/>
      <c r="I110" s="2">
        <v>0</v>
      </c>
      <c r="J110" s="2"/>
      <c r="K110" s="30">
        <f t="shared" si="4"/>
        <v>1640870</v>
      </c>
      <c r="L110" s="2"/>
      <c r="M110" s="2">
        <v>1824305</v>
      </c>
      <c r="N110" s="2"/>
      <c r="O110" s="59">
        <f t="shared" si="7"/>
        <v>977854</v>
      </c>
      <c r="P110" s="2"/>
      <c r="Q110" s="2">
        <v>486629</v>
      </c>
      <c r="R110" s="2"/>
      <c r="S110" s="2">
        <v>1464483</v>
      </c>
      <c r="T110" s="2"/>
      <c r="U110" s="2"/>
      <c r="V110" s="2"/>
      <c r="W110" s="2">
        <v>32081</v>
      </c>
      <c r="X110" s="2"/>
      <c r="Y110" s="2">
        <v>0</v>
      </c>
      <c r="Z110" s="2"/>
      <c r="AA110" s="2">
        <f>491840-164146+47</f>
        <v>327741</v>
      </c>
      <c r="AB110" s="2"/>
      <c r="AC110" s="31">
        <f t="shared" si="5"/>
        <v>359822</v>
      </c>
      <c r="AE110" s="2">
        <f t="shared" si="6"/>
        <v>0</v>
      </c>
    </row>
    <row r="111" spans="1:33" s="19" customFormat="1" ht="12" hidden="1">
      <c r="A111" s="19" t="s">
        <v>421</v>
      </c>
      <c r="C111" s="19" t="s">
        <v>232</v>
      </c>
      <c r="E111" s="19">
        <v>49254</v>
      </c>
      <c r="G111" s="2">
        <v>374058</v>
      </c>
      <c r="H111" s="2"/>
      <c r="I111" s="2"/>
      <c r="J111" s="2"/>
      <c r="K111" s="30">
        <f t="shared" si="4"/>
        <v>0</v>
      </c>
      <c r="L111" s="2"/>
      <c r="M111" s="2">
        <v>374058</v>
      </c>
      <c r="N111" s="2"/>
      <c r="O111" s="59">
        <f t="shared" si="7"/>
        <v>0</v>
      </c>
      <c r="P111" s="2"/>
      <c r="Q111" s="2"/>
      <c r="R111" s="2"/>
      <c r="S111" s="2"/>
      <c r="T111" s="2"/>
      <c r="U111" s="2"/>
      <c r="V111" s="2"/>
      <c r="W111" s="2">
        <v>110532</v>
      </c>
      <c r="X111" s="2"/>
      <c r="Y111" s="2">
        <f>262251+1275</f>
        <v>263526</v>
      </c>
      <c r="Z111" s="2"/>
      <c r="AA111" s="2"/>
      <c r="AB111" s="2"/>
      <c r="AC111" s="31">
        <f t="shared" si="5"/>
        <v>374058</v>
      </c>
      <c r="AE111" s="2">
        <f t="shared" si="6"/>
        <v>0</v>
      </c>
      <c r="AG111" s="19" t="s">
        <v>373</v>
      </c>
    </row>
    <row r="112" spans="1:33" s="19" customFormat="1" ht="12">
      <c r="A112" s="19" t="s">
        <v>233</v>
      </c>
      <c r="C112" s="19" t="s">
        <v>234</v>
      </c>
      <c r="E112" s="19">
        <v>49304</v>
      </c>
      <c r="G112" s="2">
        <v>1381516</v>
      </c>
      <c r="H112" s="2"/>
      <c r="I112" s="2">
        <v>0</v>
      </c>
      <c r="J112" s="2"/>
      <c r="K112" s="30">
        <f t="shared" si="4"/>
        <v>1210312</v>
      </c>
      <c r="L112" s="2"/>
      <c r="M112" s="2">
        <v>2591828</v>
      </c>
      <c r="N112" s="2"/>
      <c r="O112" s="59">
        <f t="shared" si="7"/>
        <v>599697</v>
      </c>
      <c r="P112" s="2"/>
      <c r="Q112" s="2">
        <v>1165173</v>
      </c>
      <c r="R112" s="2"/>
      <c r="S112" s="2">
        <v>1764870</v>
      </c>
      <c r="T112" s="2"/>
      <c r="U112" s="2"/>
      <c r="V112" s="2"/>
      <c r="W112" s="2">
        <v>220779</v>
      </c>
      <c r="X112" s="2"/>
      <c r="Y112" s="2">
        <v>0</v>
      </c>
      <c r="Z112" s="2"/>
      <c r="AA112" s="2">
        <f>670415-64236</f>
        <v>606179</v>
      </c>
      <c r="AB112" s="2"/>
      <c r="AC112" s="31">
        <f t="shared" si="5"/>
        <v>826958</v>
      </c>
      <c r="AE112" s="2">
        <f t="shared" si="6"/>
        <v>0</v>
      </c>
    </row>
    <row r="113" spans="1:33" s="19" customFormat="1" ht="12">
      <c r="A113" s="19" t="s">
        <v>237</v>
      </c>
      <c r="C113" s="19" t="s">
        <v>238</v>
      </c>
      <c r="E113" s="19">
        <v>138222</v>
      </c>
      <c r="G113" s="2">
        <v>3017072</v>
      </c>
      <c r="H113" s="2"/>
      <c r="I113" s="2">
        <v>0</v>
      </c>
      <c r="J113" s="2"/>
      <c r="K113" s="30">
        <f t="shared" si="4"/>
        <v>1384463</v>
      </c>
      <c r="L113" s="2"/>
      <c r="M113" s="2">
        <v>4401535</v>
      </c>
      <c r="N113" s="2"/>
      <c r="O113" s="59">
        <f t="shared" si="7"/>
        <v>1209491</v>
      </c>
      <c r="P113" s="2"/>
      <c r="Q113" s="2">
        <v>184477</v>
      </c>
      <c r="R113" s="2"/>
      <c r="S113" s="2">
        <v>1393968</v>
      </c>
      <c r="T113" s="2"/>
      <c r="U113" s="2"/>
      <c r="V113" s="2"/>
      <c r="W113" s="2">
        <f>143252+12657</f>
        <v>155909</v>
      </c>
      <c r="X113" s="2"/>
      <c r="Y113" s="2">
        <v>0</v>
      </c>
      <c r="Z113" s="2"/>
      <c r="AA113" s="2">
        <f>2804097+47561</f>
        <v>2851658</v>
      </c>
      <c r="AB113" s="2"/>
      <c r="AC113" s="31">
        <f t="shared" si="5"/>
        <v>3007567</v>
      </c>
      <c r="AE113" s="2">
        <f t="shared" si="6"/>
        <v>0</v>
      </c>
    </row>
    <row r="114" spans="1:33" s="19" customFormat="1" ht="12" hidden="1">
      <c r="A114" s="71" t="s">
        <v>239</v>
      </c>
      <c r="C114" s="19" t="s">
        <v>240</v>
      </c>
      <c r="E114" s="19">
        <v>49551</v>
      </c>
      <c r="G114" s="2"/>
      <c r="H114" s="2"/>
      <c r="I114" s="2"/>
      <c r="J114" s="2"/>
      <c r="K114" s="30">
        <f t="shared" si="4"/>
        <v>0</v>
      </c>
      <c r="L114" s="2"/>
      <c r="M114" s="2"/>
      <c r="N114" s="2"/>
      <c r="O114" s="59">
        <f t="shared" si="7"/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31">
        <f t="shared" si="5"/>
        <v>0</v>
      </c>
      <c r="AE114" s="2">
        <f t="shared" si="6"/>
        <v>0</v>
      </c>
      <c r="AG114" s="17" t="s">
        <v>425</v>
      </c>
    </row>
    <row r="115" spans="1:33" s="19" customFormat="1" ht="12">
      <c r="A115" s="19" t="s">
        <v>245</v>
      </c>
      <c r="C115" s="19" t="s">
        <v>246</v>
      </c>
      <c r="E115" s="19">
        <v>49742</v>
      </c>
      <c r="G115" s="2">
        <v>1143391</v>
      </c>
      <c r="H115" s="2"/>
      <c r="I115" s="2">
        <v>0</v>
      </c>
      <c r="J115" s="2"/>
      <c r="K115" s="30">
        <f t="shared" si="4"/>
        <v>42994</v>
      </c>
      <c r="L115" s="2"/>
      <c r="M115" s="2">
        <v>1186385</v>
      </c>
      <c r="N115" s="2"/>
      <c r="O115" s="59">
        <f t="shared" si="7"/>
        <v>548188</v>
      </c>
      <c r="P115" s="2"/>
      <c r="Q115" s="2">
        <v>0</v>
      </c>
      <c r="R115" s="2"/>
      <c r="S115" s="2">
        <v>548188</v>
      </c>
      <c r="T115" s="2"/>
      <c r="U115" s="2"/>
      <c r="V115" s="2"/>
      <c r="W115" s="2">
        <f>134080+2175+8440</f>
        <v>144695</v>
      </c>
      <c r="X115" s="2"/>
      <c r="Y115" s="2">
        <v>0</v>
      </c>
      <c r="Z115" s="2"/>
      <c r="AA115" s="2">
        <f>353485+140017</f>
        <v>493502</v>
      </c>
      <c r="AB115" s="2"/>
      <c r="AC115" s="31">
        <f t="shared" si="5"/>
        <v>638197</v>
      </c>
      <c r="AE115" s="2">
        <f t="shared" si="6"/>
        <v>0</v>
      </c>
    </row>
    <row r="116" spans="1:33" s="19" customFormat="1" ht="12">
      <c r="A116" s="19" t="s">
        <v>371</v>
      </c>
      <c r="C116" s="19" t="s">
        <v>242</v>
      </c>
      <c r="E116" s="19">
        <v>125658</v>
      </c>
      <c r="G116" s="2">
        <v>1242330</v>
      </c>
      <c r="H116" s="2"/>
      <c r="I116" s="2">
        <v>0</v>
      </c>
      <c r="J116" s="2"/>
      <c r="K116" s="30">
        <f t="shared" si="4"/>
        <v>436662</v>
      </c>
      <c r="L116" s="2"/>
      <c r="M116" s="2">
        <v>1678992</v>
      </c>
      <c r="N116" s="2"/>
      <c r="O116" s="59">
        <f t="shared" si="7"/>
        <v>897102</v>
      </c>
      <c r="P116" s="2"/>
      <c r="Q116" s="2">
        <v>144559</v>
      </c>
      <c r="R116" s="2"/>
      <c r="S116" s="2">
        <v>1041661</v>
      </c>
      <c r="T116" s="2"/>
      <c r="U116" s="2"/>
      <c r="V116" s="2"/>
      <c r="W116" s="2">
        <v>134692</v>
      </c>
      <c r="X116" s="2"/>
      <c r="Y116" s="2">
        <v>0</v>
      </c>
      <c r="Z116" s="2"/>
      <c r="AA116" s="2">
        <f>417324+85315</f>
        <v>502639</v>
      </c>
      <c r="AB116" s="2"/>
      <c r="AC116" s="31">
        <f t="shared" si="5"/>
        <v>637331</v>
      </c>
      <c r="AE116" s="2">
        <f t="shared" si="6"/>
        <v>0</v>
      </c>
    </row>
    <row r="117" spans="1:33" s="19" customFormat="1" ht="12">
      <c r="A117" s="2" t="s">
        <v>370</v>
      </c>
      <c r="B117" s="2"/>
      <c r="C117" s="2" t="s">
        <v>173</v>
      </c>
      <c r="G117" s="2">
        <v>2989227</v>
      </c>
      <c r="H117" s="2"/>
      <c r="I117" s="2">
        <v>0</v>
      </c>
      <c r="J117" s="2"/>
      <c r="K117" s="30">
        <f>+M117-I117-G117</f>
        <v>77712</v>
      </c>
      <c r="L117" s="2"/>
      <c r="M117" s="2">
        <v>3066939</v>
      </c>
      <c r="N117" s="2"/>
      <c r="O117" s="59">
        <f t="shared" si="7"/>
        <v>223968</v>
      </c>
      <c r="P117" s="2"/>
      <c r="Q117" s="2">
        <v>17771</v>
      </c>
      <c r="R117" s="2"/>
      <c r="S117" s="2">
        <v>241739</v>
      </c>
      <c r="T117" s="2"/>
      <c r="U117" s="2"/>
      <c r="V117" s="2"/>
      <c r="W117" s="2">
        <v>203371</v>
      </c>
      <c r="X117" s="2"/>
      <c r="Y117" s="2">
        <v>0</v>
      </c>
      <c r="Z117" s="2"/>
      <c r="AA117" s="2">
        <f>2459419+162410</f>
        <v>2621829</v>
      </c>
      <c r="AB117" s="2"/>
      <c r="AC117" s="31">
        <f>+AA117+Y117+U117+W117</f>
        <v>2825200</v>
      </c>
      <c r="AE117" s="2">
        <f>+G117+I117+K117-O117-Q117-AA117-Y117-U117-W117</f>
        <v>0</v>
      </c>
      <c r="AG117" s="80" t="s">
        <v>411</v>
      </c>
    </row>
    <row r="118" spans="1:33" s="19" customFormat="1" ht="12">
      <c r="A118" s="19" t="s">
        <v>435</v>
      </c>
      <c r="C118" s="19" t="s">
        <v>248</v>
      </c>
      <c r="E118" s="19">
        <v>49825</v>
      </c>
      <c r="G118" s="2">
        <v>1327655</v>
      </c>
      <c r="H118" s="2"/>
      <c r="I118" s="2">
        <v>0</v>
      </c>
      <c r="J118" s="2"/>
      <c r="K118" s="30">
        <f t="shared" si="4"/>
        <v>2801910</v>
      </c>
      <c r="L118" s="2"/>
      <c r="M118" s="2">
        <v>4129565</v>
      </c>
      <c r="N118" s="2"/>
      <c r="O118" s="59">
        <f t="shared" si="7"/>
        <v>2586935</v>
      </c>
      <c r="P118" s="2"/>
      <c r="Q118" s="2">
        <v>1059352</v>
      </c>
      <c r="R118" s="2"/>
      <c r="S118" s="2">
        <v>3646287</v>
      </c>
      <c r="T118" s="2"/>
      <c r="U118" s="2"/>
      <c r="V118" s="2"/>
      <c r="W118" s="2">
        <f>231763+6178</f>
        <v>237941</v>
      </c>
      <c r="X118" s="2"/>
      <c r="Y118" s="2">
        <v>0</v>
      </c>
      <c r="Z118" s="2"/>
      <c r="AA118" s="2">
        <f>217093+17984+10260</f>
        <v>245337</v>
      </c>
      <c r="AB118" s="2"/>
      <c r="AC118" s="31">
        <f t="shared" si="5"/>
        <v>483278</v>
      </c>
      <c r="AE118" s="2">
        <f>+G118+I118+K118-O118-Q118-AA118-Y118-U118-W118</f>
        <v>0</v>
      </c>
      <c r="AG118" s="100" t="s">
        <v>424</v>
      </c>
    </row>
    <row r="119" spans="1:33" s="19" customFormat="1" ht="12">
      <c r="A119" s="19" t="s">
        <v>249</v>
      </c>
      <c r="C119" s="19" t="s">
        <v>250</v>
      </c>
      <c r="E119" s="19">
        <v>49965</v>
      </c>
      <c r="G119" s="2">
        <v>6075436</v>
      </c>
      <c r="H119" s="2"/>
      <c r="I119" s="2">
        <v>0</v>
      </c>
      <c r="J119" s="2"/>
      <c r="K119" s="30">
        <f t="shared" si="4"/>
        <v>2435765</v>
      </c>
      <c r="L119" s="2"/>
      <c r="M119" s="2">
        <v>8511201</v>
      </c>
      <c r="N119" s="2"/>
      <c r="O119" s="59">
        <f t="shared" si="7"/>
        <v>1300800</v>
      </c>
      <c r="P119" s="2"/>
      <c r="Q119" s="2">
        <v>1693768</v>
      </c>
      <c r="R119" s="2"/>
      <c r="S119" s="2">
        <v>2994568</v>
      </c>
      <c r="T119" s="2"/>
      <c r="U119" s="2"/>
      <c r="V119" s="2"/>
      <c r="W119" s="2">
        <v>172067</v>
      </c>
      <c r="X119" s="2"/>
      <c r="Y119" s="2">
        <f>148863+250000</f>
        <v>398863</v>
      </c>
      <c r="Z119" s="2"/>
      <c r="AA119" s="2">
        <f>4648084+295376+2243</f>
        <v>4945703</v>
      </c>
      <c r="AB119" s="2"/>
      <c r="AC119" s="31">
        <f t="shared" si="5"/>
        <v>5516633</v>
      </c>
      <c r="AE119" s="2">
        <f t="shared" si="6"/>
        <v>0</v>
      </c>
    </row>
    <row r="120" spans="1:33" s="19" customFormat="1" ht="12">
      <c r="A120" s="19" t="s">
        <v>261</v>
      </c>
      <c r="C120" s="19" t="s">
        <v>262</v>
      </c>
      <c r="E120" s="19">
        <v>50526</v>
      </c>
      <c r="G120" s="2">
        <v>2615454</v>
      </c>
      <c r="H120" s="2"/>
      <c r="I120" s="2">
        <v>0</v>
      </c>
      <c r="J120" s="2"/>
      <c r="K120" s="30">
        <f t="shared" si="4"/>
        <v>826370</v>
      </c>
      <c r="L120" s="2"/>
      <c r="M120" s="2">
        <v>3441824</v>
      </c>
      <c r="N120" s="2"/>
      <c r="O120" s="59">
        <f t="shared" si="7"/>
        <v>1444536</v>
      </c>
      <c r="P120" s="2"/>
      <c r="Q120" s="2">
        <f>204497+8980</f>
        <v>213477</v>
      </c>
      <c r="R120" s="2"/>
      <c r="S120" s="2">
        <v>1658013</v>
      </c>
      <c r="T120" s="2"/>
      <c r="U120" s="2"/>
      <c r="V120" s="2"/>
      <c r="W120" s="2">
        <f>213320+43132</f>
        <v>256452</v>
      </c>
      <c r="X120" s="2"/>
      <c r="Y120" s="2">
        <v>0</v>
      </c>
      <c r="Z120" s="2"/>
      <c r="AA120" s="2">
        <f>1485790+41569</f>
        <v>1527359</v>
      </c>
      <c r="AB120" s="2"/>
      <c r="AC120" s="31">
        <f t="shared" si="5"/>
        <v>1783811</v>
      </c>
      <c r="AE120" s="2">
        <f t="shared" si="6"/>
        <v>0</v>
      </c>
    </row>
    <row r="121" spans="1:33" s="19" customFormat="1" ht="12">
      <c r="A121" s="19" t="s">
        <v>251</v>
      </c>
      <c r="C121" s="19" t="s">
        <v>252</v>
      </c>
      <c r="E121" s="19">
        <v>50088</v>
      </c>
      <c r="G121" s="2">
        <v>6363599</v>
      </c>
      <c r="H121" s="2"/>
      <c r="I121" s="2">
        <v>0</v>
      </c>
      <c r="J121" s="2"/>
      <c r="K121" s="30">
        <f t="shared" si="4"/>
        <v>1494443</v>
      </c>
      <c r="L121" s="2"/>
      <c r="M121" s="2">
        <v>7858042</v>
      </c>
      <c r="N121" s="2"/>
      <c r="O121" s="59">
        <f t="shared" si="7"/>
        <v>2360047</v>
      </c>
      <c r="P121" s="2"/>
      <c r="Q121" s="2">
        <f>1308652+465</f>
        <v>1309117</v>
      </c>
      <c r="R121" s="2"/>
      <c r="S121" s="2">
        <v>3669164</v>
      </c>
      <c r="T121" s="2"/>
      <c r="U121" s="2"/>
      <c r="V121" s="2"/>
      <c r="W121" s="2">
        <f>4275+26371</f>
        <v>30646</v>
      </c>
      <c r="X121" s="2"/>
      <c r="Y121" s="2">
        <v>0</v>
      </c>
      <c r="Z121" s="2"/>
      <c r="AA121" s="2">
        <f>4142551+15681</f>
        <v>4158232</v>
      </c>
      <c r="AB121" s="2"/>
      <c r="AC121" s="31">
        <f t="shared" si="5"/>
        <v>4188878</v>
      </c>
      <c r="AE121" s="2">
        <f t="shared" si="6"/>
        <v>0</v>
      </c>
    </row>
    <row r="122" spans="1:33" s="19" customFormat="1" ht="12">
      <c r="A122" s="2" t="s">
        <v>389</v>
      </c>
      <c r="C122" s="19" t="s">
        <v>254</v>
      </c>
      <c r="E122" s="19">
        <v>50260</v>
      </c>
      <c r="G122" s="2">
        <v>1141453</v>
      </c>
      <c r="H122" s="2"/>
      <c r="I122" s="2">
        <v>0</v>
      </c>
      <c r="J122" s="2"/>
      <c r="K122" s="30">
        <f t="shared" si="4"/>
        <v>244533</v>
      </c>
      <c r="L122" s="2"/>
      <c r="M122" s="2">
        <v>1385986</v>
      </c>
      <c r="N122" s="2"/>
      <c r="O122" s="59">
        <f t="shared" si="7"/>
        <v>494400</v>
      </c>
      <c r="P122" s="2"/>
      <c r="Q122" s="2">
        <v>70308</v>
      </c>
      <c r="R122" s="2"/>
      <c r="S122" s="2">
        <v>564708</v>
      </c>
      <c r="T122" s="2"/>
      <c r="U122" s="2"/>
      <c r="V122" s="2"/>
      <c r="W122" s="2">
        <v>100</v>
      </c>
      <c r="X122" s="2"/>
      <c r="Y122" s="2">
        <v>0</v>
      </c>
      <c r="Z122" s="2"/>
      <c r="AA122" s="2">
        <f>805294+15884</f>
        <v>821178</v>
      </c>
      <c r="AB122" s="2"/>
      <c r="AC122" s="31">
        <f t="shared" si="5"/>
        <v>821278</v>
      </c>
      <c r="AE122" s="2">
        <f t="shared" si="6"/>
        <v>0</v>
      </c>
      <c r="AG122" s="60"/>
    </row>
    <row r="123" spans="1:33" s="19" customFormat="1" ht="12" hidden="1">
      <c r="A123" s="19" t="s">
        <v>257</v>
      </c>
      <c r="C123" s="19" t="s">
        <v>258</v>
      </c>
      <c r="E123" s="19">
        <v>50401</v>
      </c>
      <c r="G123" s="2">
        <v>5397261</v>
      </c>
      <c r="H123" s="2"/>
      <c r="I123" s="2"/>
      <c r="J123" s="2"/>
      <c r="K123" s="30">
        <f t="shared" si="4"/>
        <v>0</v>
      </c>
      <c r="L123" s="2"/>
      <c r="M123" s="2">
        <v>5397261</v>
      </c>
      <c r="N123" s="2"/>
      <c r="O123" s="59">
        <f t="shared" si="7"/>
        <v>0</v>
      </c>
      <c r="P123" s="2"/>
      <c r="Q123" s="2"/>
      <c r="R123" s="2"/>
      <c r="S123" s="2"/>
      <c r="T123" s="2"/>
      <c r="U123" s="2"/>
      <c r="V123" s="2"/>
      <c r="W123" s="2">
        <v>602319</v>
      </c>
      <c r="X123" s="2"/>
      <c r="Y123" s="2"/>
      <c r="Z123" s="2"/>
      <c r="AA123" s="2">
        <f>2583213+711729+1500000</f>
        <v>4794942</v>
      </c>
      <c r="AB123" s="2"/>
      <c r="AC123" s="31">
        <f t="shared" si="5"/>
        <v>5397261</v>
      </c>
      <c r="AE123" s="2">
        <f t="shared" si="6"/>
        <v>0</v>
      </c>
      <c r="AG123" s="13" t="s">
        <v>373</v>
      </c>
    </row>
    <row r="124" spans="1:33" s="19" customFormat="1" ht="12" hidden="1">
      <c r="A124" s="71" t="s">
        <v>259</v>
      </c>
      <c r="C124" s="19" t="s">
        <v>260</v>
      </c>
      <c r="E124" s="19">
        <v>50476</v>
      </c>
      <c r="AB124" s="2"/>
      <c r="AC124" s="31">
        <f t="shared" si="5"/>
        <v>0</v>
      </c>
      <c r="AE124" s="2">
        <f t="shared" si="6"/>
        <v>0</v>
      </c>
      <c r="AG124" s="60" t="s">
        <v>428</v>
      </c>
    </row>
    <row r="125" spans="1:33" s="19" customFormat="1" ht="12">
      <c r="A125" s="19" t="s">
        <v>255</v>
      </c>
      <c r="C125" s="19" t="s">
        <v>358</v>
      </c>
      <c r="E125" s="19">
        <v>134999</v>
      </c>
      <c r="G125" s="2">
        <v>867077</v>
      </c>
      <c r="H125" s="2"/>
      <c r="I125" s="2">
        <v>0</v>
      </c>
      <c r="J125" s="2"/>
      <c r="K125" s="30">
        <f>+M125-I125-G125</f>
        <v>213118</v>
      </c>
      <c r="L125" s="2"/>
      <c r="M125" s="2">
        <v>1080195</v>
      </c>
      <c r="N125" s="2"/>
      <c r="O125" s="59">
        <f>+S125-Q125</f>
        <v>530146</v>
      </c>
      <c r="P125" s="2"/>
      <c r="Q125" s="2">
        <v>5005</v>
      </c>
      <c r="R125" s="2"/>
      <c r="S125" s="2">
        <v>535151</v>
      </c>
      <c r="T125" s="2"/>
      <c r="U125" s="2"/>
      <c r="V125" s="2"/>
      <c r="W125" s="2">
        <v>11044</v>
      </c>
      <c r="X125" s="2"/>
      <c r="Y125" s="2">
        <v>0</v>
      </c>
      <c r="Z125" s="2"/>
      <c r="AA125" s="2">
        <f>533423+577</f>
        <v>534000</v>
      </c>
      <c r="AB125" s="2"/>
      <c r="AC125" s="31">
        <f t="shared" si="5"/>
        <v>545044</v>
      </c>
      <c r="AE125" s="2">
        <f t="shared" si="6"/>
        <v>0</v>
      </c>
      <c r="AG125" s="60"/>
    </row>
    <row r="126" spans="1:33" s="19" customFormat="1" ht="12">
      <c r="A126" s="19" t="s">
        <v>263</v>
      </c>
      <c r="C126" s="19" t="s">
        <v>264</v>
      </c>
      <c r="E126" s="19">
        <v>50666</v>
      </c>
      <c r="G126" s="2">
        <v>6172943</v>
      </c>
      <c r="H126" s="2"/>
      <c r="I126" s="2">
        <v>0</v>
      </c>
      <c r="J126" s="2"/>
      <c r="K126" s="30">
        <f t="shared" si="4"/>
        <v>262654</v>
      </c>
      <c r="L126" s="2"/>
      <c r="M126" s="2">
        <v>6435597</v>
      </c>
      <c r="N126" s="2"/>
      <c r="O126" s="59">
        <f t="shared" si="7"/>
        <v>2109953</v>
      </c>
      <c r="P126" s="2"/>
      <c r="Q126" s="2">
        <v>100170</v>
      </c>
      <c r="R126" s="2"/>
      <c r="S126" s="2">
        <v>2210123</v>
      </c>
      <c r="T126" s="2"/>
      <c r="U126" s="2"/>
      <c r="V126" s="2"/>
      <c r="W126" s="2">
        <v>163989</v>
      </c>
      <c r="X126" s="2"/>
      <c r="Y126" s="2">
        <v>0</v>
      </c>
      <c r="Z126" s="2"/>
      <c r="AA126" s="2">
        <f>3002801+1058684</f>
        <v>4061485</v>
      </c>
      <c r="AB126" s="2"/>
      <c r="AC126" s="31">
        <f t="shared" si="5"/>
        <v>4225474</v>
      </c>
      <c r="AE126" s="2">
        <f t="shared" si="6"/>
        <v>0</v>
      </c>
      <c r="AG126" s="60"/>
    </row>
    <row r="127" spans="1:33" s="19" customFormat="1" ht="12"/>
    <row r="128" spans="1:33" s="19" customFormat="1" ht="12"/>
    <row r="129" spans="7:29" s="19" customFormat="1" ht="12"/>
    <row r="133" spans="7:29">
      <c r="G133" s="2"/>
      <c r="H133" s="2"/>
      <c r="I133" s="2"/>
      <c r="J133" s="2"/>
      <c r="K133" s="30"/>
      <c r="L133" s="2"/>
      <c r="M133" s="2"/>
      <c r="N133" s="2"/>
      <c r="O133" s="30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31"/>
    </row>
  </sheetData>
  <phoneticPr fontId="3" type="noConversion"/>
  <pageMargins left="0.75" right="0.57999999999999996" top="0.5" bottom="0.5" header="0" footer="0.25"/>
  <pageSetup scale="85" firstPageNumber="46" pageOrder="overThenDown" orientation="portrait" useFirstPageNumber="1" r:id="rId1"/>
  <headerFooter alignWithMargins="0">
    <oddFooter>&amp;C&amp;"Times New Roman,Regular"&amp;12&amp;P</oddFooter>
  </headerFooter>
  <rowBreaks count="1" manualBreakCount="1">
    <brk id="64" max="28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BJ200"/>
  <sheetViews>
    <sheetView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M24" sqref="M24:M25"/>
    </sheetView>
  </sheetViews>
  <sheetFormatPr defaultRowHeight="12.75"/>
  <cols>
    <col min="1" max="1" width="40.7109375" customWidth="1"/>
    <col min="2" max="2" width="1.7109375" customWidth="1"/>
    <col min="3" max="3" width="11.7109375" customWidth="1"/>
    <col min="4" max="4" width="1.7109375" hidden="1" customWidth="1"/>
    <col min="5" max="5" width="11.7109375" hidden="1" customWidth="1"/>
    <col min="6" max="6" width="1.7109375" customWidth="1"/>
    <col min="7" max="7" width="10.7109375" customWidth="1"/>
    <col min="8" max="8" width="1.7109375" hidden="1" customWidth="1"/>
    <col min="9" max="9" width="11.7109375" hidden="1" customWidth="1"/>
    <col min="10" max="10" width="2.570312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1.7109375" customWidth="1"/>
    <col min="29" max="29" width="11.7109375" customWidth="1"/>
    <col min="30" max="30" width="40.7109375" customWidth="1"/>
    <col min="31" max="31" width="1.7109375" customWidth="1"/>
    <col min="32" max="32" width="11.7109375" customWidth="1"/>
    <col min="33" max="33" width="1.7109375" customWidth="1"/>
    <col min="34" max="34" width="10.7109375" customWidth="1"/>
    <col min="35" max="35" width="1.7109375" hidden="1" customWidth="1"/>
    <col min="36" max="36" width="11.7109375" hidden="1" customWidth="1"/>
    <col min="37" max="37" width="1.7109375" customWidth="1"/>
    <col min="38" max="38" width="10.7109375" customWidth="1"/>
    <col min="39" max="39" width="1.7109375" customWidth="1"/>
    <col min="40" max="40" width="12.7109375" customWidth="1"/>
    <col min="41" max="41" width="1.7109375" hidden="1" customWidth="1"/>
    <col min="42" max="42" width="11.7109375" hidden="1" customWidth="1"/>
    <col min="43" max="43" width="1.85546875" customWidth="1"/>
    <col min="44" max="44" width="12.28515625" customWidth="1"/>
    <col min="45" max="45" width="1.7109375" customWidth="1"/>
    <col min="46" max="46" width="11.140625" customWidth="1"/>
    <col min="47" max="47" width="2.140625" customWidth="1"/>
    <col min="48" max="48" width="11.7109375" customWidth="1"/>
    <col min="49" max="49" width="2.140625" customWidth="1"/>
    <col min="50" max="50" width="13.7109375" customWidth="1"/>
    <col min="51" max="51" width="1.28515625" customWidth="1"/>
  </cols>
  <sheetData>
    <row r="1" spans="1:59" s="3" customFormat="1" ht="12">
      <c r="A1" s="28" t="s">
        <v>135</v>
      </c>
      <c r="B1" s="28"/>
      <c r="C1" s="28"/>
      <c r="D1" s="28"/>
      <c r="E1" s="28"/>
      <c r="F1" s="32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5"/>
      <c r="AC1" s="35"/>
      <c r="AD1" s="28" t="s">
        <v>135</v>
      </c>
      <c r="AE1" s="28"/>
      <c r="AF1" s="28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59" s="3" customFormat="1" ht="12">
      <c r="A2" s="28" t="s">
        <v>391</v>
      </c>
      <c r="B2" s="28"/>
      <c r="C2" s="28"/>
      <c r="D2" s="28"/>
      <c r="E2" s="28"/>
      <c r="F2" s="3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5"/>
      <c r="AC2" s="35"/>
      <c r="AD2" s="28" t="s">
        <v>391</v>
      </c>
      <c r="AE2" s="28"/>
      <c r="AF2" s="28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59" s="3" customFormat="1" ht="12">
      <c r="A3" s="34" t="s">
        <v>348</v>
      </c>
      <c r="B3" s="28"/>
      <c r="C3" s="28"/>
      <c r="D3" s="28"/>
      <c r="E3" s="28"/>
      <c r="F3" s="3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5"/>
      <c r="AC3" s="35"/>
      <c r="AD3" s="34" t="s">
        <v>348</v>
      </c>
      <c r="AE3" s="28"/>
      <c r="AF3" s="28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59" s="2" customFormat="1" ht="12">
      <c r="A4" s="18" t="s">
        <v>349</v>
      </c>
      <c r="B4" s="28"/>
      <c r="C4" s="28"/>
      <c r="D4" s="28"/>
      <c r="E4" s="28"/>
      <c r="F4" s="6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6"/>
      <c r="AC4" s="36"/>
      <c r="AD4" s="18" t="s">
        <v>349</v>
      </c>
      <c r="AE4" s="28"/>
      <c r="AF4" s="28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59" s="17" customFormat="1" ht="12">
      <c r="A5" s="34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AE5" s="15"/>
      <c r="AF5" s="15"/>
      <c r="AR5" s="45" t="s">
        <v>89</v>
      </c>
      <c r="AX5" s="45" t="s">
        <v>9</v>
      </c>
    </row>
    <row r="6" spans="1:59" s="7" customFormat="1" ht="1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20" t="s">
        <v>104</v>
      </c>
      <c r="AB6" s="20"/>
      <c r="AC6" s="20"/>
      <c r="AE6" s="8"/>
      <c r="AF6" s="8"/>
      <c r="AG6" s="5"/>
      <c r="AH6" s="122" t="s">
        <v>104</v>
      </c>
      <c r="AI6" s="122"/>
      <c r="AJ6" s="122"/>
      <c r="AK6" s="122"/>
      <c r="AL6" s="122"/>
      <c r="AM6" s="122"/>
      <c r="AN6" s="122"/>
      <c r="AO6" s="20"/>
      <c r="AP6" s="20"/>
      <c r="AQ6" s="5"/>
      <c r="AR6" s="118" t="s">
        <v>384</v>
      </c>
      <c r="AV6" s="7" t="s">
        <v>9</v>
      </c>
      <c r="AX6" s="7" t="s">
        <v>383</v>
      </c>
    </row>
    <row r="7" spans="1:59" s="7" customFormat="1" ht="12">
      <c r="A7" s="83"/>
      <c r="B7" s="8"/>
      <c r="C7" s="8"/>
      <c r="D7" s="8"/>
      <c r="E7" s="8"/>
      <c r="F7" s="8"/>
      <c r="G7" s="8" t="s">
        <v>312</v>
      </c>
      <c r="H7" s="8"/>
      <c r="I7" s="8"/>
      <c r="J7" s="8"/>
      <c r="K7" s="8"/>
      <c r="L7" s="8"/>
      <c r="M7" s="8"/>
      <c r="N7" s="8"/>
      <c r="O7" s="8"/>
      <c r="P7" s="8"/>
      <c r="Q7" s="8" t="s">
        <v>31</v>
      </c>
      <c r="R7" s="8"/>
      <c r="S7" s="8" t="s">
        <v>105</v>
      </c>
      <c r="T7" s="8"/>
      <c r="U7" s="8" t="s">
        <v>33</v>
      </c>
      <c r="V7" s="8"/>
      <c r="W7" s="8"/>
      <c r="X7" s="8"/>
      <c r="Y7" s="8"/>
      <c r="Z7" s="8"/>
      <c r="AD7" s="8"/>
      <c r="AE7" s="8"/>
      <c r="AF7" s="8"/>
      <c r="AL7" s="7" t="s">
        <v>304</v>
      </c>
      <c r="AN7" s="7" t="s">
        <v>293</v>
      </c>
      <c r="AP7" s="7" t="s">
        <v>300</v>
      </c>
      <c r="AR7" s="7" t="s">
        <v>73</v>
      </c>
      <c r="AV7" s="7" t="s">
        <v>89</v>
      </c>
      <c r="AX7" s="7" t="s">
        <v>384</v>
      </c>
    </row>
    <row r="8" spans="1:59" s="7" customFormat="1" ht="12">
      <c r="A8" s="8"/>
      <c r="B8" s="8"/>
      <c r="C8" s="8"/>
      <c r="D8" s="8"/>
      <c r="E8" s="8"/>
      <c r="F8" s="8"/>
      <c r="G8" s="8" t="s">
        <v>313</v>
      </c>
      <c r="H8" s="8"/>
      <c r="I8" s="8" t="s">
        <v>136</v>
      </c>
      <c r="J8" s="8"/>
      <c r="K8" s="8" t="s">
        <v>107</v>
      </c>
      <c r="L8" s="8"/>
      <c r="M8" s="8"/>
      <c r="N8" s="8"/>
      <c r="O8" s="8" t="s">
        <v>41</v>
      </c>
      <c r="P8" s="8"/>
      <c r="Q8" s="8" t="s">
        <v>42</v>
      </c>
      <c r="R8" s="8"/>
      <c r="S8" s="8" t="s">
        <v>108</v>
      </c>
      <c r="T8" s="8"/>
      <c r="U8" s="8" t="s">
        <v>44</v>
      </c>
      <c r="V8" s="8"/>
      <c r="W8" s="8" t="s">
        <v>73</v>
      </c>
      <c r="X8" s="8"/>
      <c r="Y8" s="8" t="s">
        <v>9</v>
      </c>
      <c r="Z8" s="8"/>
      <c r="AA8" s="8"/>
      <c r="AD8" s="8"/>
      <c r="AE8" s="8"/>
      <c r="AF8" s="8"/>
      <c r="AH8" s="7" t="s">
        <v>109</v>
      </c>
      <c r="AJ8" s="7" t="s">
        <v>110</v>
      </c>
      <c r="AL8" s="7" t="s">
        <v>305</v>
      </c>
      <c r="AN8" s="7" t="s">
        <v>295</v>
      </c>
      <c r="AP8" s="7" t="s">
        <v>301</v>
      </c>
      <c r="AR8" s="7" t="s">
        <v>111</v>
      </c>
      <c r="AT8" s="7" t="s">
        <v>34</v>
      </c>
      <c r="AV8" s="7" t="s">
        <v>111</v>
      </c>
      <c r="AX8" s="7" t="s">
        <v>385</v>
      </c>
    </row>
    <row r="9" spans="1:59" s="7" customFormat="1" ht="12">
      <c r="A9" s="105" t="s">
        <v>434</v>
      </c>
      <c r="C9" s="4" t="s">
        <v>13</v>
      </c>
      <c r="E9" s="4" t="s">
        <v>14</v>
      </c>
      <c r="F9" s="8"/>
      <c r="G9" s="11" t="s">
        <v>50</v>
      </c>
      <c r="H9" s="8"/>
      <c r="I9" s="4" t="s">
        <v>50</v>
      </c>
      <c r="J9" s="4"/>
      <c r="K9" s="11" t="s">
        <v>112</v>
      </c>
      <c r="L9" s="8"/>
      <c r="M9" s="11" t="s">
        <v>90</v>
      </c>
      <c r="N9" s="8"/>
      <c r="O9" s="11" t="s">
        <v>53</v>
      </c>
      <c r="P9" s="8"/>
      <c r="Q9" s="11" t="s">
        <v>54</v>
      </c>
      <c r="R9" s="8"/>
      <c r="S9" s="11" t="s">
        <v>113</v>
      </c>
      <c r="T9" s="12"/>
      <c r="U9" s="11" t="s">
        <v>55</v>
      </c>
      <c r="V9" s="8"/>
      <c r="W9" s="11" t="s">
        <v>101</v>
      </c>
      <c r="X9" s="8"/>
      <c r="Y9" s="11" t="s">
        <v>35</v>
      </c>
      <c r="Z9" s="8"/>
      <c r="AA9" s="4" t="s">
        <v>114</v>
      </c>
      <c r="AC9" s="4" t="s">
        <v>115</v>
      </c>
      <c r="AD9" s="113" t="s">
        <v>434</v>
      </c>
      <c r="AF9" s="4" t="s">
        <v>13</v>
      </c>
      <c r="AG9" s="8"/>
      <c r="AH9" s="118" t="s">
        <v>116</v>
      </c>
      <c r="AJ9" s="118" t="s">
        <v>116</v>
      </c>
      <c r="AK9" s="8"/>
      <c r="AL9" s="118" t="s">
        <v>294</v>
      </c>
      <c r="AN9" s="118" t="s">
        <v>19</v>
      </c>
      <c r="AP9" s="7" t="s">
        <v>123</v>
      </c>
      <c r="AR9" s="118" t="s">
        <v>117</v>
      </c>
      <c r="AT9" s="4" t="s">
        <v>318</v>
      </c>
      <c r="AV9" s="4" t="s">
        <v>117</v>
      </c>
      <c r="AX9" s="4" t="s">
        <v>318</v>
      </c>
    </row>
    <row r="10" spans="1:59" s="7" customFormat="1" ht="12">
      <c r="A10" s="8"/>
      <c r="C10" s="8"/>
      <c r="E10" s="8"/>
      <c r="F10" s="8"/>
      <c r="G10" s="12"/>
      <c r="H10" s="8"/>
      <c r="I10" s="8"/>
      <c r="J10" s="8"/>
      <c r="K10" s="12"/>
      <c r="L10" s="8"/>
      <c r="M10" s="12"/>
      <c r="N10" s="8"/>
      <c r="O10" s="12"/>
      <c r="P10" s="8"/>
      <c r="Q10" s="12"/>
      <c r="R10" s="8"/>
      <c r="S10" s="12"/>
      <c r="T10" s="12"/>
      <c r="U10" s="12"/>
      <c r="V10" s="8"/>
      <c r="W10" s="12"/>
      <c r="X10" s="8"/>
      <c r="Y10" s="12"/>
      <c r="Z10" s="8"/>
      <c r="AA10" s="8"/>
      <c r="AC10" s="8"/>
      <c r="AD10" s="8"/>
      <c r="AF10" s="8"/>
      <c r="AG10" s="8"/>
      <c r="AH10" s="8"/>
      <c r="AJ10" s="8"/>
      <c r="AK10" s="8"/>
      <c r="AL10" s="8"/>
      <c r="AN10" s="8"/>
      <c r="AR10" s="8"/>
      <c r="AV10" s="8"/>
      <c r="AX10" s="8"/>
    </row>
    <row r="11" spans="1:59">
      <c r="A11" s="54" t="s">
        <v>346</v>
      </c>
      <c r="AD11" s="54" t="s">
        <v>346</v>
      </c>
    </row>
    <row r="12" spans="1:59" s="65" customFormat="1" hidden="1">
      <c r="A12" s="13" t="s">
        <v>399</v>
      </c>
      <c r="B12" s="13"/>
      <c r="C12" s="13" t="s">
        <v>365</v>
      </c>
      <c r="G12" s="82">
        <v>3856331</v>
      </c>
      <c r="H12" s="82"/>
      <c r="I12" s="82">
        <v>0</v>
      </c>
      <c r="J12" s="82"/>
      <c r="K12" s="82">
        <v>7348090</v>
      </c>
      <c r="L12" s="82"/>
      <c r="M12" s="82">
        <v>197869</v>
      </c>
      <c r="N12" s="82"/>
      <c r="O12" s="82">
        <v>3421432</v>
      </c>
      <c r="P12" s="82"/>
      <c r="Q12" s="82">
        <v>0</v>
      </c>
      <c r="R12" s="82"/>
      <c r="S12" s="82">
        <v>0</v>
      </c>
      <c r="T12" s="82"/>
      <c r="U12" s="82">
        <v>0</v>
      </c>
      <c r="V12" s="82"/>
      <c r="W12" s="82">
        <f>549049+309558</f>
        <v>858607</v>
      </c>
      <c r="X12" s="82"/>
      <c r="Y12" s="88">
        <f>SUM(G12:X12)</f>
        <v>15682329</v>
      </c>
      <c r="Z12" s="82"/>
      <c r="AA12" s="82">
        <v>0</v>
      </c>
      <c r="AB12" s="82"/>
      <c r="AC12" s="82">
        <v>0</v>
      </c>
      <c r="AD12" s="13" t="s">
        <v>366</v>
      </c>
      <c r="AE12" s="13"/>
      <c r="AF12" s="13" t="s">
        <v>365</v>
      </c>
      <c r="AG12" s="82"/>
      <c r="AH12" s="82">
        <v>0</v>
      </c>
      <c r="AI12" s="82"/>
      <c r="AJ12" s="82">
        <v>0</v>
      </c>
      <c r="AK12" s="82"/>
      <c r="AL12" s="82">
        <v>0</v>
      </c>
      <c r="AM12" s="82"/>
      <c r="AN12" s="82">
        <v>0</v>
      </c>
      <c r="AO12" s="82"/>
      <c r="AP12" s="82">
        <v>0</v>
      </c>
      <c r="AQ12" s="82"/>
      <c r="AR12" s="82">
        <v>0</v>
      </c>
      <c r="AS12" s="82"/>
      <c r="AT12" s="82">
        <v>0</v>
      </c>
      <c r="AU12" s="82"/>
      <c r="AV12" s="88">
        <f t="shared" ref="AV12:AV18" si="0">SUM(AA12:AT12)</f>
        <v>0</v>
      </c>
      <c r="AW12" s="82"/>
      <c r="AX12" s="88">
        <f t="shared" ref="AX12:AX43" si="1">+AV12+Y12</f>
        <v>15682329</v>
      </c>
      <c r="AY12" s="81"/>
      <c r="AZ12" s="60" t="s">
        <v>400</v>
      </c>
      <c r="BA12" s="81"/>
      <c r="BB12" s="81"/>
      <c r="BC12" s="81"/>
      <c r="BD12" s="81"/>
      <c r="BE12" s="81"/>
      <c r="BF12" s="81"/>
      <c r="BG12" s="81"/>
    </row>
    <row r="13" spans="1:59" s="81" customFormat="1" ht="12">
      <c r="A13" s="81" t="s">
        <v>323</v>
      </c>
      <c r="C13" s="81" t="s">
        <v>155</v>
      </c>
      <c r="E13" s="89">
        <v>62042</v>
      </c>
      <c r="G13" s="82">
        <v>3021812</v>
      </c>
      <c r="H13" s="82"/>
      <c r="I13" s="82"/>
      <c r="J13" s="82"/>
      <c r="K13" s="82">
        <v>4206577</v>
      </c>
      <c r="L13" s="82"/>
      <c r="M13" s="82">
        <v>44151</v>
      </c>
      <c r="N13" s="82"/>
      <c r="O13" s="82">
        <v>539396</v>
      </c>
      <c r="P13" s="82"/>
      <c r="Q13" s="82">
        <v>0</v>
      </c>
      <c r="R13" s="82"/>
      <c r="S13" s="82">
        <v>0</v>
      </c>
      <c r="T13" s="82"/>
      <c r="U13" s="82">
        <v>1775</v>
      </c>
      <c r="V13" s="82"/>
      <c r="W13" s="82">
        <f>3025+161171+89777</f>
        <v>253973</v>
      </c>
      <c r="X13" s="82"/>
      <c r="Y13" s="88">
        <f>SUM(G13:X13)</f>
        <v>8067684</v>
      </c>
      <c r="Z13" s="82"/>
      <c r="AA13" s="82">
        <v>51412</v>
      </c>
      <c r="AB13" s="82"/>
      <c r="AC13" s="82">
        <v>0</v>
      </c>
      <c r="AD13" s="81" t="s">
        <v>323</v>
      </c>
      <c r="AF13" s="81" t="s">
        <v>155</v>
      </c>
      <c r="AG13" s="82"/>
      <c r="AH13" s="82">
        <v>0</v>
      </c>
      <c r="AI13" s="82"/>
      <c r="AJ13" s="82"/>
      <c r="AK13" s="82"/>
      <c r="AL13" s="82">
        <v>0</v>
      </c>
      <c r="AM13" s="82"/>
      <c r="AN13" s="82">
        <v>15695</v>
      </c>
      <c r="AO13" s="82"/>
      <c r="AP13" s="82"/>
      <c r="AQ13" s="82"/>
      <c r="AR13" s="82">
        <v>0</v>
      </c>
      <c r="AS13" s="82"/>
      <c r="AT13" s="82">
        <v>0</v>
      </c>
      <c r="AU13" s="82"/>
      <c r="AV13" s="88">
        <f t="shared" si="0"/>
        <v>67107</v>
      </c>
      <c r="AW13" s="82"/>
      <c r="AX13" s="88">
        <f t="shared" si="1"/>
        <v>8134791</v>
      </c>
      <c r="AY13" s="60"/>
      <c r="AZ13" s="13" t="s">
        <v>401</v>
      </c>
      <c r="BA13" s="60"/>
      <c r="BB13" s="60"/>
      <c r="BC13" s="60"/>
      <c r="BD13" s="60"/>
      <c r="BE13" s="60"/>
      <c r="BF13" s="60"/>
    </row>
    <row r="14" spans="1:59" s="60" customFormat="1" ht="12">
      <c r="A14" s="13" t="s">
        <v>265</v>
      </c>
      <c r="C14" s="60" t="s">
        <v>156</v>
      </c>
      <c r="E14" s="60">
        <v>50815</v>
      </c>
      <c r="G14" s="64">
        <v>4109725</v>
      </c>
      <c r="H14" s="64"/>
      <c r="I14" s="64"/>
      <c r="J14" s="64"/>
      <c r="K14" s="64">
        <v>9144380</v>
      </c>
      <c r="L14" s="64"/>
      <c r="M14" s="64">
        <v>259762</v>
      </c>
      <c r="N14" s="64"/>
      <c r="O14" s="64">
        <v>585392</v>
      </c>
      <c r="P14" s="64"/>
      <c r="Q14" s="64">
        <v>17626</v>
      </c>
      <c r="R14" s="64"/>
      <c r="S14" s="64">
        <v>0</v>
      </c>
      <c r="T14" s="64"/>
      <c r="U14" s="64">
        <v>12317</v>
      </c>
      <c r="V14" s="64"/>
      <c r="W14" s="64">
        <f>157691+22144+578444</f>
        <v>758279</v>
      </c>
      <c r="X14" s="64"/>
      <c r="Y14" s="91">
        <f>SUM(G14:X14)</f>
        <v>14887481</v>
      </c>
      <c r="Z14" s="64"/>
      <c r="AA14" s="64">
        <v>28016</v>
      </c>
      <c r="AB14" s="64"/>
      <c r="AC14" s="64">
        <v>0</v>
      </c>
      <c r="AD14" s="13" t="s">
        <v>265</v>
      </c>
      <c r="AF14" s="60" t="s">
        <v>156</v>
      </c>
      <c r="AG14" s="64"/>
      <c r="AH14" s="64">
        <v>0</v>
      </c>
      <c r="AI14" s="64"/>
      <c r="AJ14" s="64"/>
      <c r="AK14" s="64"/>
      <c r="AL14" s="64">
        <v>0</v>
      </c>
      <c r="AM14" s="64"/>
      <c r="AN14" s="64">
        <v>0</v>
      </c>
      <c r="AO14" s="64"/>
      <c r="AP14" s="64"/>
      <c r="AQ14" s="64"/>
      <c r="AR14" s="64">
        <v>0</v>
      </c>
      <c r="AS14" s="64"/>
      <c r="AT14" s="64">
        <v>0</v>
      </c>
      <c r="AU14" s="64"/>
      <c r="AV14" s="91">
        <f t="shared" si="0"/>
        <v>28016</v>
      </c>
      <c r="AW14" s="64"/>
      <c r="AX14" s="91">
        <f t="shared" si="1"/>
        <v>14915497</v>
      </c>
      <c r="AZ14" s="13" t="s">
        <v>401</v>
      </c>
    </row>
    <row r="15" spans="1:59" s="60" customFormat="1">
      <c r="A15" s="13" t="s">
        <v>277</v>
      </c>
      <c r="C15" s="60" t="s">
        <v>158</v>
      </c>
      <c r="E15" s="60">
        <v>51169</v>
      </c>
      <c r="G15" s="13">
        <v>6353205</v>
      </c>
      <c r="H15" s="13"/>
      <c r="I15" s="13"/>
      <c r="J15" s="13"/>
      <c r="K15" s="13">
        <v>3763647</v>
      </c>
      <c r="L15" s="13"/>
      <c r="M15" s="13">
        <v>152133</v>
      </c>
      <c r="N15" s="13"/>
      <c r="O15" s="13">
        <v>1219115</v>
      </c>
      <c r="P15" s="13"/>
      <c r="Q15" s="13">
        <v>0</v>
      </c>
      <c r="R15" s="13"/>
      <c r="S15" s="13">
        <v>0</v>
      </c>
      <c r="T15" s="13"/>
      <c r="U15" s="13">
        <v>0</v>
      </c>
      <c r="V15" s="13"/>
      <c r="W15" s="13">
        <f>216672+116845+281843</f>
        <v>615360</v>
      </c>
      <c r="X15" s="13"/>
      <c r="Y15" s="91">
        <f>SUM(G15:X15)</f>
        <v>12103460</v>
      </c>
      <c r="Z15" s="13"/>
      <c r="AA15" s="13">
        <v>25000</v>
      </c>
      <c r="AB15" s="13"/>
      <c r="AC15" s="13">
        <v>0</v>
      </c>
      <c r="AD15" s="13" t="s">
        <v>277</v>
      </c>
      <c r="AF15" s="60" t="s">
        <v>158</v>
      </c>
      <c r="AG15" s="13"/>
      <c r="AH15" s="13">
        <v>0</v>
      </c>
      <c r="AI15" s="13"/>
      <c r="AJ15" s="13"/>
      <c r="AK15" s="13"/>
      <c r="AL15" s="13">
        <v>0</v>
      </c>
      <c r="AM15" s="13"/>
      <c r="AN15" s="13">
        <v>0</v>
      </c>
      <c r="AO15" s="13"/>
      <c r="AP15" s="13"/>
      <c r="AQ15" s="13"/>
      <c r="AR15" s="13">
        <v>0</v>
      </c>
      <c r="AS15" s="13"/>
      <c r="AT15" s="13">
        <v>0</v>
      </c>
      <c r="AU15" s="13"/>
      <c r="AV15" s="91">
        <f t="shared" si="0"/>
        <v>25000</v>
      </c>
      <c r="AW15" s="65"/>
      <c r="AX15" s="91">
        <f t="shared" si="1"/>
        <v>12128460</v>
      </c>
      <c r="AY15" s="65"/>
      <c r="AZ15" s="13" t="s">
        <v>401</v>
      </c>
      <c r="BA15" s="65"/>
      <c r="BB15" s="65"/>
      <c r="BC15" s="65"/>
    </row>
    <row r="16" spans="1:59" s="60" customFormat="1" ht="12">
      <c r="A16" s="13" t="s">
        <v>267</v>
      </c>
      <c r="C16" s="60" t="s">
        <v>162</v>
      </c>
      <c r="E16" s="60">
        <v>50856</v>
      </c>
      <c r="G16" s="64">
        <v>1438562</v>
      </c>
      <c r="H16" s="64"/>
      <c r="I16" s="64"/>
      <c r="J16" s="64"/>
      <c r="K16" s="64">
        <v>5149211</v>
      </c>
      <c r="L16" s="64"/>
      <c r="M16" s="64">
        <v>26377</v>
      </c>
      <c r="N16" s="64"/>
      <c r="O16" s="64">
        <v>105065</v>
      </c>
      <c r="P16" s="64"/>
      <c r="Q16" s="64">
        <v>17967</v>
      </c>
      <c r="R16" s="64"/>
      <c r="S16" s="64">
        <v>0</v>
      </c>
      <c r="T16" s="64"/>
      <c r="U16" s="64">
        <v>0</v>
      </c>
      <c r="V16" s="64"/>
      <c r="W16" s="64">
        <f>18779+51941+12000</f>
        <v>82720</v>
      </c>
      <c r="X16" s="64"/>
      <c r="Y16" s="91">
        <f>SUM(G16:X16)</f>
        <v>6819902</v>
      </c>
      <c r="Z16" s="64"/>
      <c r="AA16" s="64">
        <v>0</v>
      </c>
      <c r="AB16" s="64"/>
      <c r="AC16" s="64">
        <v>0</v>
      </c>
      <c r="AD16" s="13" t="s">
        <v>267</v>
      </c>
      <c r="AF16" s="60" t="s">
        <v>162</v>
      </c>
      <c r="AG16" s="64"/>
      <c r="AH16" s="64">
        <v>0</v>
      </c>
      <c r="AI16" s="64"/>
      <c r="AJ16" s="64"/>
      <c r="AK16" s="64"/>
      <c r="AL16" s="64">
        <v>0</v>
      </c>
      <c r="AM16" s="64"/>
      <c r="AN16" s="64">
        <v>2612</v>
      </c>
      <c r="AO16" s="64"/>
      <c r="AP16" s="64"/>
      <c r="AQ16" s="64"/>
      <c r="AR16" s="64">
        <v>0</v>
      </c>
      <c r="AS16" s="64"/>
      <c r="AT16" s="64">
        <v>0</v>
      </c>
      <c r="AU16" s="64"/>
      <c r="AV16" s="91">
        <f t="shared" si="0"/>
        <v>2612</v>
      </c>
      <c r="AW16" s="64"/>
      <c r="AX16" s="91">
        <f t="shared" si="1"/>
        <v>6822514</v>
      </c>
      <c r="AZ16" s="13" t="s">
        <v>401</v>
      </c>
    </row>
    <row r="17" spans="1:52" s="19" customFormat="1" ht="12">
      <c r="A17" s="13" t="s">
        <v>290</v>
      </c>
      <c r="C17" s="19" t="s">
        <v>254</v>
      </c>
      <c r="E17" s="19">
        <v>51656</v>
      </c>
      <c r="G17" s="36">
        <v>4391850</v>
      </c>
      <c r="H17" s="36"/>
      <c r="I17" s="36"/>
      <c r="J17" s="36"/>
      <c r="K17" s="36">
        <v>8941445</v>
      </c>
      <c r="L17" s="36"/>
      <c r="M17" s="36">
        <v>359817</v>
      </c>
      <c r="N17" s="36"/>
      <c r="O17" s="36">
        <v>1359177</v>
      </c>
      <c r="P17" s="36"/>
      <c r="Q17" s="36">
        <v>0</v>
      </c>
      <c r="R17" s="36"/>
      <c r="S17" s="36">
        <v>0</v>
      </c>
      <c r="T17" s="36"/>
      <c r="U17" s="36">
        <v>0</v>
      </c>
      <c r="V17" s="36"/>
      <c r="W17" s="36">
        <v>737362</v>
      </c>
      <c r="X17" s="36"/>
      <c r="Y17" s="39">
        <f t="shared" ref="Y17:Y62" si="2">SUM(G17:X17)</f>
        <v>15789651</v>
      </c>
      <c r="Z17" s="36"/>
      <c r="AA17" s="36">
        <v>45500</v>
      </c>
      <c r="AB17" s="36"/>
      <c r="AC17" s="36">
        <v>0</v>
      </c>
      <c r="AD17" s="13" t="s">
        <v>290</v>
      </c>
      <c r="AF17" s="19" t="s">
        <v>254</v>
      </c>
      <c r="AG17" s="36"/>
      <c r="AH17" s="36">
        <v>0</v>
      </c>
      <c r="AI17" s="36"/>
      <c r="AJ17" s="36"/>
      <c r="AK17" s="36"/>
      <c r="AL17" s="36">
        <v>148368</v>
      </c>
      <c r="AM17" s="36"/>
      <c r="AN17" s="36">
        <v>8853</v>
      </c>
      <c r="AO17" s="36"/>
      <c r="AP17" s="36"/>
      <c r="AQ17" s="36"/>
      <c r="AR17" s="36">
        <v>0</v>
      </c>
      <c r="AS17" s="36"/>
      <c r="AT17" s="36">
        <v>0</v>
      </c>
      <c r="AU17" s="36"/>
      <c r="AV17" s="39">
        <f t="shared" si="0"/>
        <v>202721</v>
      </c>
      <c r="AW17" s="36"/>
      <c r="AX17" s="39">
        <f t="shared" si="1"/>
        <v>15992372</v>
      </c>
    </row>
    <row r="18" spans="1:52" s="19" customFormat="1" ht="12">
      <c r="A18" s="13" t="s">
        <v>388</v>
      </c>
      <c r="C18" s="19" t="s">
        <v>159</v>
      </c>
      <c r="E18" s="19">
        <v>50880</v>
      </c>
      <c r="G18" s="36">
        <v>13565500</v>
      </c>
      <c r="H18" s="36"/>
      <c r="I18" s="36"/>
      <c r="J18" s="36"/>
      <c r="K18" s="36">
        <v>29810424</v>
      </c>
      <c r="L18" s="36"/>
      <c r="M18" s="36">
        <v>451081</v>
      </c>
      <c r="N18" s="36"/>
      <c r="O18" s="36">
        <v>944698</v>
      </c>
      <c r="P18" s="36"/>
      <c r="Q18" s="36">
        <v>0</v>
      </c>
      <c r="R18" s="36"/>
      <c r="S18" s="36">
        <v>0</v>
      </c>
      <c r="T18" s="36"/>
      <c r="U18" s="36">
        <v>0</v>
      </c>
      <c r="V18" s="36"/>
      <c r="W18" s="36">
        <v>1055000</v>
      </c>
      <c r="X18" s="36"/>
      <c r="Y18" s="39">
        <f t="shared" si="2"/>
        <v>45826703</v>
      </c>
      <c r="Z18" s="36"/>
      <c r="AA18" s="36">
        <v>1612500</v>
      </c>
      <c r="AB18" s="36"/>
      <c r="AC18" s="36">
        <v>0</v>
      </c>
      <c r="AD18" s="13" t="s">
        <v>322</v>
      </c>
      <c r="AF18" s="19" t="s">
        <v>159</v>
      </c>
      <c r="AG18" s="36"/>
      <c r="AH18" s="36">
        <v>38010</v>
      </c>
      <c r="AI18" s="36"/>
      <c r="AJ18" s="36"/>
      <c r="AK18" s="36"/>
      <c r="AL18" s="36">
        <v>0</v>
      </c>
      <c r="AM18" s="36"/>
      <c r="AN18" s="36">
        <v>0</v>
      </c>
      <c r="AO18" s="36"/>
      <c r="AP18" s="36"/>
      <c r="AQ18" s="36"/>
      <c r="AR18" s="36">
        <v>9900</v>
      </c>
      <c r="AS18" s="36"/>
      <c r="AT18" s="64">
        <v>0</v>
      </c>
      <c r="AU18" s="36"/>
      <c r="AV18" s="39">
        <f t="shared" si="0"/>
        <v>1660410</v>
      </c>
      <c r="AW18" s="36"/>
      <c r="AX18" s="39">
        <f t="shared" si="1"/>
        <v>47487113</v>
      </c>
    </row>
    <row r="19" spans="1:52" s="60" customFormat="1" ht="12" hidden="1">
      <c r="A19" s="17" t="s">
        <v>396</v>
      </c>
      <c r="C19" s="60" t="s">
        <v>282</v>
      </c>
      <c r="E19" s="60">
        <v>63511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91">
        <f t="shared" si="2"/>
        <v>0</v>
      </c>
      <c r="Z19" s="64"/>
      <c r="AA19" s="64"/>
      <c r="AB19" s="64"/>
      <c r="AC19" s="64">
        <v>0</v>
      </c>
      <c r="AD19" s="17" t="s">
        <v>396</v>
      </c>
      <c r="AF19" s="60" t="s">
        <v>282</v>
      </c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13">
        <v>0</v>
      </c>
      <c r="AU19" s="64"/>
      <c r="AV19" s="91">
        <f t="shared" ref="AV19:AV61" si="3">SUM(AA19:AT19)</f>
        <v>0</v>
      </c>
      <c r="AW19" s="64"/>
      <c r="AX19" s="91">
        <f t="shared" si="1"/>
        <v>0</v>
      </c>
      <c r="AZ19" s="80" t="s">
        <v>397</v>
      </c>
    </row>
    <row r="20" spans="1:52" s="19" customFormat="1" ht="12">
      <c r="A20" s="13" t="s">
        <v>392</v>
      </c>
      <c r="C20" s="19" t="s">
        <v>175</v>
      </c>
      <c r="E20" s="19">
        <v>50906</v>
      </c>
      <c r="G20" s="36">
        <v>1878149</v>
      </c>
      <c r="H20" s="36"/>
      <c r="I20" s="36"/>
      <c r="J20" s="36"/>
      <c r="K20" s="36">
        <v>4342205</v>
      </c>
      <c r="L20" s="36"/>
      <c r="M20" s="36">
        <v>82246</v>
      </c>
      <c r="N20" s="36"/>
      <c r="O20" s="36">
        <v>832088</v>
      </c>
      <c r="P20" s="36"/>
      <c r="Q20" s="36">
        <v>2392</v>
      </c>
      <c r="R20" s="36"/>
      <c r="S20" s="36">
        <v>0</v>
      </c>
      <c r="T20" s="36"/>
      <c r="U20" s="36">
        <v>0</v>
      </c>
      <c r="V20" s="36"/>
      <c r="W20" s="36">
        <v>163220</v>
      </c>
      <c r="X20" s="36"/>
      <c r="Y20" s="39">
        <f t="shared" si="2"/>
        <v>7300300</v>
      </c>
      <c r="Z20" s="36"/>
      <c r="AA20" s="36">
        <v>545000</v>
      </c>
      <c r="AB20" s="36"/>
      <c r="AC20" s="36">
        <v>0</v>
      </c>
      <c r="AD20" s="13" t="s">
        <v>271</v>
      </c>
      <c r="AF20" s="19" t="s">
        <v>175</v>
      </c>
      <c r="AG20" s="36"/>
      <c r="AH20" s="36">
        <v>0</v>
      </c>
      <c r="AI20" s="36"/>
      <c r="AJ20" s="36"/>
      <c r="AK20" s="36"/>
      <c r="AL20" s="36">
        <v>0</v>
      </c>
      <c r="AM20" s="36"/>
      <c r="AN20" s="36">
        <v>0</v>
      </c>
      <c r="AO20" s="36"/>
      <c r="AP20" s="36"/>
      <c r="AQ20" s="36"/>
      <c r="AR20" s="36">
        <v>0</v>
      </c>
      <c r="AS20" s="36"/>
      <c r="AT20" s="64">
        <v>0</v>
      </c>
      <c r="AU20" s="36"/>
      <c r="AV20" s="39">
        <f>SUM(AA20:AT20)</f>
        <v>545000</v>
      </c>
      <c r="AW20" s="36"/>
      <c r="AX20" s="39">
        <f t="shared" si="1"/>
        <v>7845300</v>
      </c>
    </row>
    <row r="21" spans="1:52" s="19" customFormat="1" ht="12">
      <c r="A21" s="13" t="s">
        <v>328</v>
      </c>
      <c r="C21" s="19" t="s">
        <v>272</v>
      </c>
      <c r="E21" s="19">
        <v>65227</v>
      </c>
      <c r="G21" s="36">
        <v>1228132</v>
      </c>
      <c r="H21" s="36"/>
      <c r="I21" s="36"/>
      <c r="J21" s="36"/>
      <c r="K21" s="36">
        <v>2535596</v>
      </c>
      <c r="L21" s="36"/>
      <c r="M21" s="36">
        <v>6396</v>
      </c>
      <c r="N21" s="36"/>
      <c r="O21" s="36">
        <v>19056</v>
      </c>
      <c r="P21" s="36"/>
      <c r="Q21" s="36">
        <v>0</v>
      </c>
      <c r="R21" s="36"/>
      <c r="S21" s="36">
        <v>0</v>
      </c>
      <c r="T21" s="36"/>
      <c r="U21" s="36">
        <v>1200</v>
      </c>
      <c r="V21" s="36"/>
      <c r="W21" s="36">
        <v>104600</v>
      </c>
      <c r="X21" s="36"/>
      <c r="Y21" s="39">
        <f t="shared" si="2"/>
        <v>3894980</v>
      </c>
      <c r="Z21" s="36"/>
      <c r="AA21" s="36">
        <v>0</v>
      </c>
      <c r="AB21" s="36"/>
      <c r="AC21" s="36">
        <v>0</v>
      </c>
      <c r="AD21" s="13" t="s">
        <v>328</v>
      </c>
      <c r="AF21" s="19" t="s">
        <v>272</v>
      </c>
      <c r="AG21" s="36"/>
      <c r="AH21" s="36">
        <v>0</v>
      </c>
      <c r="AI21" s="36"/>
      <c r="AJ21" s="36"/>
      <c r="AK21" s="36"/>
      <c r="AL21" s="36">
        <v>0</v>
      </c>
      <c r="AM21" s="36"/>
      <c r="AN21" s="36">
        <v>0</v>
      </c>
      <c r="AO21" s="36"/>
      <c r="AP21" s="36"/>
      <c r="AQ21" s="36"/>
      <c r="AR21" s="36">
        <v>0</v>
      </c>
      <c r="AS21" s="36"/>
      <c r="AT21" s="36">
        <v>0</v>
      </c>
      <c r="AU21" s="36"/>
      <c r="AV21" s="39">
        <f>SUM(AA21:AT21)</f>
        <v>0</v>
      </c>
      <c r="AW21" s="36"/>
      <c r="AX21" s="39">
        <f t="shared" si="1"/>
        <v>3894980</v>
      </c>
    </row>
    <row r="22" spans="1:52" s="60" customFormat="1" ht="12">
      <c r="A22" s="13" t="s">
        <v>403</v>
      </c>
      <c r="C22" s="60" t="s">
        <v>207</v>
      </c>
      <c r="E22" s="60">
        <v>51201</v>
      </c>
      <c r="G22" s="64">
        <f>9194249+1415</f>
        <v>9195664</v>
      </c>
      <c r="H22" s="64"/>
      <c r="I22" s="64"/>
      <c r="J22" s="64"/>
      <c r="K22" s="64">
        <v>7065848</v>
      </c>
      <c r="L22" s="64"/>
      <c r="M22" s="64">
        <v>89316</v>
      </c>
      <c r="N22" s="64"/>
      <c r="O22" s="64">
        <v>2066433</v>
      </c>
      <c r="P22" s="64"/>
      <c r="Q22" s="64">
        <v>14925</v>
      </c>
      <c r="R22" s="64"/>
      <c r="S22" s="64">
        <v>0</v>
      </c>
      <c r="T22" s="64"/>
      <c r="U22" s="64">
        <v>6000</v>
      </c>
      <c r="V22" s="64"/>
      <c r="W22" s="64">
        <f>63012+270684+6662</f>
        <v>340358</v>
      </c>
      <c r="X22" s="64"/>
      <c r="Y22" s="91">
        <f t="shared" si="2"/>
        <v>18778544</v>
      </c>
      <c r="Z22" s="64"/>
      <c r="AA22" s="64">
        <v>89601</v>
      </c>
      <c r="AB22" s="64"/>
      <c r="AC22" s="64">
        <v>0</v>
      </c>
      <c r="AD22" s="13" t="s">
        <v>403</v>
      </c>
      <c r="AF22" s="60" t="s">
        <v>207</v>
      </c>
      <c r="AG22" s="64"/>
      <c r="AH22" s="64">
        <f>3300000+32241</f>
        <v>3332241</v>
      </c>
      <c r="AI22" s="64"/>
      <c r="AJ22" s="64"/>
      <c r="AK22" s="64"/>
      <c r="AL22" s="64">
        <v>0</v>
      </c>
      <c r="AM22" s="64"/>
      <c r="AN22" s="64">
        <v>0</v>
      </c>
      <c r="AO22" s="64"/>
      <c r="AP22" s="64"/>
      <c r="AQ22" s="64"/>
      <c r="AR22" s="64">
        <v>21010</v>
      </c>
      <c r="AS22" s="64"/>
      <c r="AT22" s="64">
        <v>0</v>
      </c>
      <c r="AU22" s="64"/>
      <c r="AV22" s="91">
        <f>SUM(AA22:AT22)</f>
        <v>3442852</v>
      </c>
      <c r="AW22" s="64"/>
      <c r="AX22" s="91">
        <f t="shared" si="1"/>
        <v>22221396</v>
      </c>
      <c r="AZ22" s="13" t="s">
        <v>401</v>
      </c>
    </row>
    <row r="23" spans="1:52" s="19" customFormat="1" ht="12">
      <c r="A23" s="2" t="s">
        <v>325</v>
      </c>
      <c r="C23" s="19" t="s">
        <v>177</v>
      </c>
      <c r="E23" s="19">
        <v>50922</v>
      </c>
      <c r="G23" s="36">
        <v>11556216</v>
      </c>
      <c r="H23" s="36"/>
      <c r="I23" s="36"/>
      <c r="J23" s="36"/>
      <c r="K23" s="36">
        <v>4607044</v>
      </c>
      <c r="L23" s="36"/>
      <c r="M23" s="36">
        <v>238794</v>
      </c>
      <c r="N23" s="36"/>
      <c r="O23" s="36">
        <v>1404632</v>
      </c>
      <c r="P23" s="36"/>
      <c r="Q23" s="36">
        <v>0</v>
      </c>
      <c r="R23" s="36"/>
      <c r="S23" s="36">
        <v>0</v>
      </c>
      <c r="T23" s="36"/>
      <c r="U23" s="36">
        <v>5435</v>
      </c>
      <c r="V23" s="36"/>
      <c r="W23" s="36">
        <v>647783</v>
      </c>
      <c r="X23" s="36"/>
      <c r="Y23" s="39">
        <f t="shared" si="2"/>
        <v>18459904</v>
      </c>
      <c r="Z23" s="36"/>
      <c r="AA23" s="36">
        <v>2899859</v>
      </c>
      <c r="AB23" s="36"/>
      <c r="AC23" s="36">
        <v>0</v>
      </c>
      <c r="AD23" s="2" t="s">
        <v>325</v>
      </c>
      <c r="AF23" s="19" t="s">
        <v>177</v>
      </c>
      <c r="AG23" s="36"/>
      <c r="AH23" s="36">
        <v>0</v>
      </c>
      <c r="AI23" s="36"/>
      <c r="AJ23" s="36"/>
      <c r="AK23" s="36"/>
      <c r="AL23" s="36">
        <v>0</v>
      </c>
      <c r="AM23" s="36"/>
      <c r="AN23" s="36">
        <v>0</v>
      </c>
      <c r="AO23" s="36"/>
      <c r="AP23" s="36"/>
      <c r="AQ23" s="36"/>
      <c r="AR23" s="36">
        <v>0</v>
      </c>
      <c r="AS23" s="36"/>
      <c r="AT23" s="13">
        <v>0</v>
      </c>
      <c r="AU23" s="36"/>
      <c r="AV23" s="39">
        <f>SUM(AA23:AT23)</f>
        <v>2899859</v>
      </c>
      <c r="AW23" s="36"/>
      <c r="AX23" s="39">
        <f t="shared" si="1"/>
        <v>21359763</v>
      </c>
    </row>
    <row r="24" spans="1:52" s="19" customFormat="1" ht="12">
      <c r="A24" s="2" t="s">
        <v>324</v>
      </c>
      <c r="C24" s="19" t="s">
        <v>181</v>
      </c>
      <c r="E24" s="19">
        <v>50989</v>
      </c>
      <c r="G24" s="36">
        <v>9707641</v>
      </c>
      <c r="H24" s="36"/>
      <c r="I24" s="36"/>
      <c r="J24" s="36"/>
      <c r="K24" s="36">
        <v>5584185</v>
      </c>
      <c r="L24" s="36"/>
      <c r="M24" s="36">
        <v>343497</v>
      </c>
      <c r="N24" s="36"/>
      <c r="O24" s="36">
        <v>1468486</v>
      </c>
      <c r="P24" s="36"/>
      <c r="Q24" s="36">
        <v>14214</v>
      </c>
      <c r="R24" s="36"/>
      <c r="S24" s="36">
        <v>10000</v>
      </c>
      <c r="T24" s="36"/>
      <c r="U24" s="36">
        <v>163130</v>
      </c>
      <c r="V24" s="36"/>
      <c r="W24" s="36">
        <v>729352</v>
      </c>
      <c r="X24" s="36"/>
      <c r="Y24" s="39">
        <f t="shared" si="2"/>
        <v>18020505</v>
      </c>
      <c r="Z24" s="36"/>
      <c r="AA24" s="36">
        <v>508698</v>
      </c>
      <c r="AB24" s="36"/>
      <c r="AC24" s="36">
        <v>0</v>
      </c>
      <c r="AD24" s="2" t="s">
        <v>324</v>
      </c>
      <c r="AF24" s="19" t="s">
        <v>181</v>
      </c>
      <c r="AG24" s="36"/>
      <c r="AH24" s="36">
        <v>0</v>
      </c>
      <c r="AI24" s="36"/>
      <c r="AJ24" s="36"/>
      <c r="AK24" s="36"/>
      <c r="AL24" s="36">
        <v>0</v>
      </c>
      <c r="AM24" s="36"/>
      <c r="AN24" s="36">
        <v>0</v>
      </c>
      <c r="AO24" s="36"/>
      <c r="AP24" s="36"/>
      <c r="AQ24" s="36"/>
      <c r="AR24" s="36">
        <v>0</v>
      </c>
      <c r="AS24" s="36"/>
      <c r="AT24" s="64">
        <v>0</v>
      </c>
      <c r="AU24" s="36"/>
      <c r="AV24" s="39">
        <f t="shared" si="3"/>
        <v>508698</v>
      </c>
      <c r="AW24" s="36"/>
      <c r="AX24" s="39">
        <f t="shared" si="1"/>
        <v>18529203</v>
      </c>
    </row>
    <row r="25" spans="1:52" s="19" customFormat="1" ht="12">
      <c r="A25" s="2" t="s">
        <v>326</v>
      </c>
      <c r="C25" s="19" t="s">
        <v>186</v>
      </c>
      <c r="E25" s="19">
        <v>51003</v>
      </c>
      <c r="G25" s="36">
        <v>13783061</v>
      </c>
      <c r="H25" s="36"/>
      <c r="I25" s="36"/>
      <c r="J25" s="36"/>
      <c r="K25" s="36">
        <v>7978648</v>
      </c>
      <c r="L25" s="36"/>
      <c r="M25" s="36">
        <v>450688</v>
      </c>
      <c r="N25" s="36"/>
      <c r="O25" s="36">
        <v>616056</v>
      </c>
      <c r="P25" s="36"/>
      <c r="Q25" s="36">
        <v>11482</v>
      </c>
      <c r="R25" s="36"/>
      <c r="S25" s="36">
        <v>0</v>
      </c>
      <c r="T25" s="36"/>
      <c r="U25" s="36">
        <v>21591</v>
      </c>
      <c r="V25" s="36"/>
      <c r="W25" s="36">
        <v>433856</v>
      </c>
      <c r="X25" s="36"/>
      <c r="Y25" s="39">
        <f t="shared" si="2"/>
        <v>23295382</v>
      </c>
      <c r="Z25" s="36"/>
      <c r="AA25" s="36">
        <v>256352</v>
      </c>
      <c r="AB25" s="36"/>
      <c r="AC25" s="36">
        <v>0</v>
      </c>
      <c r="AD25" s="2" t="s">
        <v>326</v>
      </c>
      <c r="AF25" s="19" t="s">
        <v>186</v>
      </c>
      <c r="AG25" s="36"/>
      <c r="AH25" s="36">
        <v>0</v>
      </c>
      <c r="AI25" s="36"/>
      <c r="AJ25" s="36"/>
      <c r="AK25" s="36"/>
      <c r="AL25" s="36">
        <v>0</v>
      </c>
      <c r="AM25" s="36"/>
      <c r="AN25" s="36">
        <v>145255</v>
      </c>
      <c r="AO25" s="36"/>
      <c r="AP25" s="36"/>
      <c r="AQ25" s="36"/>
      <c r="AR25" s="36">
        <v>0</v>
      </c>
      <c r="AS25" s="36"/>
      <c r="AT25" s="36">
        <v>0</v>
      </c>
      <c r="AU25" s="36"/>
      <c r="AV25" s="39">
        <f t="shared" si="3"/>
        <v>401607</v>
      </c>
      <c r="AW25" s="36"/>
      <c r="AX25" s="39">
        <f t="shared" si="1"/>
        <v>23696989</v>
      </c>
    </row>
    <row r="26" spans="1:52" s="60" customFormat="1" ht="12">
      <c r="A26" s="13" t="s">
        <v>327</v>
      </c>
      <c r="C26" s="60" t="s">
        <v>183</v>
      </c>
      <c r="E26" s="60">
        <v>51029</v>
      </c>
      <c r="G26" s="64">
        <v>5729863</v>
      </c>
      <c r="H26" s="64"/>
      <c r="I26" s="64"/>
      <c r="J26" s="64"/>
      <c r="K26" s="64">
        <v>8295457</v>
      </c>
      <c r="L26" s="64"/>
      <c r="M26" s="64">
        <v>150711</v>
      </c>
      <c r="N26" s="64"/>
      <c r="O26" s="64">
        <v>2240314</v>
      </c>
      <c r="P26" s="64"/>
      <c r="Q26" s="64">
        <v>3626</v>
      </c>
      <c r="R26" s="64"/>
      <c r="S26" s="64">
        <v>0</v>
      </c>
      <c r="T26" s="64"/>
      <c r="U26" s="64">
        <v>0</v>
      </c>
      <c r="V26" s="64"/>
      <c r="W26" s="64">
        <f>372190+196500+75782</f>
        <v>644472</v>
      </c>
      <c r="X26" s="64"/>
      <c r="Y26" s="91">
        <f t="shared" si="2"/>
        <v>17064443</v>
      </c>
      <c r="Z26" s="64"/>
      <c r="AA26" s="64">
        <v>161000</v>
      </c>
      <c r="AB26" s="64"/>
      <c r="AC26" s="64">
        <v>0</v>
      </c>
      <c r="AD26" s="13" t="s">
        <v>327</v>
      </c>
      <c r="AF26" s="60" t="s">
        <v>183</v>
      </c>
      <c r="AG26" s="64"/>
      <c r="AH26" s="64">
        <v>0</v>
      </c>
      <c r="AI26" s="64"/>
      <c r="AJ26" s="64"/>
      <c r="AK26" s="64"/>
      <c r="AL26" s="64">
        <v>0</v>
      </c>
      <c r="AM26" s="64"/>
      <c r="AN26" s="64">
        <v>0</v>
      </c>
      <c r="AO26" s="64"/>
      <c r="AP26" s="64"/>
      <c r="AQ26" s="64"/>
      <c r="AR26" s="64">
        <v>0</v>
      </c>
      <c r="AS26" s="64"/>
      <c r="AT26" s="64">
        <v>0</v>
      </c>
      <c r="AU26" s="64"/>
      <c r="AV26" s="91">
        <f>SUM(AA26:AT26)</f>
        <v>161000</v>
      </c>
      <c r="AW26" s="64"/>
      <c r="AX26" s="91">
        <f t="shared" si="1"/>
        <v>17225443</v>
      </c>
      <c r="AZ26" s="13" t="s">
        <v>401</v>
      </c>
    </row>
    <row r="27" spans="1:52" s="19" customFormat="1" ht="12">
      <c r="A27" s="2" t="s">
        <v>329</v>
      </c>
      <c r="C27" s="19" t="s">
        <v>275</v>
      </c>
      <c r="E27" s="19">
        <v>50963</v>
      </c>
      <c r="G27" s="36">
        <v>5656263</v>
      </c>
      <c r="H27" s="36"/>
      <c r="I27" s="36"/>
      <c r="J27" s="36"/>
      <c r="K27" s="36">
        <v>9944271</v>
      </c>
      <c r="L27" s="36"/>
      <c r="M27" s="36">
        <v>394421</v>
      </c>
      <c r="N27" s="36"/>
      <c r="O27" s="36">
        <v>858194</v>
      </c>
      <c r="P27" s="36"/>
      <c r="Q27" s="36">
        <v>0</v>
      </c>
      <c r="R27" s="36"/>
      <c r="S27" s="36">
        <v>0</v>
      </c>
      <c r="T27" s="36"/>
      <c r="U27" s="36">
        <v>85665</v>
      </c>
      <c r="V27" s="36"/>
      <c r="W27" s="36">
        <v>479780</v>
      </c>
      <c r="X27" s="36"/>
      <c r="Y27" s="39">
        <f t="shared" si="2"/>
        <v>17418594</v>
      </c>
      <c r="Z27" s="36"/>
      <c r="AA27" s="36">
        <v>50000</v>
      </c>
      <c r="AB27" s="36"/>
      <c r="AC27" s="36">
        <v>0</v>
      </c>
      <c r="AD27" s="2" t="s">
        <v>329</v>
      </c>
      <c r="AF27" s="19" t="s">
        <v>275</v>
      </c>
      <c r="AG27" s="36"/>
      <c r="AH27" s="36">
        <v>0</v>
      </c>
      <c r="AI27" s="36"/>
      <c r="AJ27" s="36"/>
      <c r="AK27" s="36"/>
      <c r="AL27" s="36">
        <v>0</v>
      </c>
      <c r="AM27" s="36"/>
      <c r="AN27" s="36">
        <v>10832</v>
      </c>
      <c r="AO27" s="36"/>
      <c r="AP27" s="36"/>
      <c r="AQ27" s="36"/>
      <c r="AR27" s="36">
        <v>0</v>
      </c>
      <c r="AS27" s="36"/>
      <c r="AT27" s="13">
        <v>0</v>
      </c>
      <c r="AU27" s="36"/>
      <c r="AV27" s="39">
        <f t="shared" si="3"/>
        <v>60832</v>
      </c>
      <c r="AW27" s="36"/>
      <c r="AX27" s="39">
        <f t="shared" si="1"/>
        <v>17479426</v>
      </c>
    </row>
    <row r="28" spans="1:52" s="19" customFormat="1" ht="12">
      <c r="A28" s="2" t="s">
        <v>273</v>
      </c>
      <c r="C28" s="19" t="s">
        <v>189</v>
      </c>
      <c r="E28" s="19">
        <v>62067</v>
      </c>
      <c r="G28" s="36">
        <v>2335501</v>
      </c>
      <c r="H28" s="36"/>
      <c r="I28" s="36"/>
      <c r="J28" s="36"/>
      <c r="K28" s="36">
        <v>14920400</v>
      </c>
      <c r="L28" s="36"/>
      <c r="M28" s="36">
        <v>390271</v>
      </c>
      <c r="N28" s="36"/>
      <c r="O28" s="36">
        <v>18450</v>
      </c>
      <c r="P28" s="36"/>
      <c r="Q28" s="36">
        <v>940</v>
      </c>
      <c r="R28" s="36"/>
      <c r="S28" s="36">
        <v>0</v>
      </c>
      <c r="T28" s="36"/>
      <c r="U28" s="36">
        <v>4104</v>
      </c>
      <c r="V28" s="36"/>
      <c r="W28" s="36">
        <v>236105</v>
      </c>
      <c r="X28" s="36"/>
      <c r="Y28" s="39">
        <f t="shared" si="2"/>
        <v>17905771</v>
      </c>
      <c r="Z28" s="36"/>
      <c r="AA28" s="36">
        <v>185291</v>
      </c>
      <c r="AB28" s="36"/>
      <c r="AC28" s="36">
        <v>0</v>
      </c>
      <c r="AD28" s="2" t="s">
        <v>273</v>
      </c>
      <c r="AF28" s="19" t="s">
        <v>189</v>
      </c>
      <c r="AG28" s="36"/>
      <c r="AH28" s="36">
        <v>0</v>
      </c>
      <c r="AI28" s="36"/>
      <c r="AJ28" s="36"/>
      <c r="AK28" s="36"/>
      <c r="AL28" s="36">
        <v>0</v>
      </c>
      <c r="AM28" s="36"/>
      <c r="AN28" s="36">
        <v>1410</v>
      </c>
      <c r="AO28" s="36"/>
      <c r="AP28" s="36"/>
      <c r="AQ28" s="36"/>
      <c r="AR28" s="36">
        <v>0</v>
      </c>
      <c r="AS28" s="36"/>
      <c r="AT28" s="64">
        <v>0</v>
      </c>
      <c r="AU28" s="36"/>
      <c r="AV28" s="39">
        <f t="shared" si="3"/>
        <v>186701</v>
      </c>
      <c r="AW28" s="36"/>
      <c r="AX28" s="39">
        <f t="shared" si="1"/>
        <v>18092472</v>
      </c>
    </row>
    <row r="29" spans="1:52" s="60" customFormat="1" ht="12">
      <c r="A29" s="13" t="s">
        <v>274</v>
      </c>
      <c r="C29" s="60" t="s">
        <v>195</v>
      </c>
      <c r="E29" s="60">
        <v>51060</v>
      </c>
      <c r="G29" s="64">
        <v>37359574</v>
      </c>
      <c r="H29" s="64"/>
      <c r="I29" s="64"/>
      <c r="J29" s="64"/>
      <c r="K29" s="64">
        <v>27518107</v>
      </c>
      <c r="L29" s="64"/>
      <c r="M29" s="64">
        <v>3538181</v>
      </c>
      <c r="N29" s="64"/>
      <c r="O29" s="64">
        <v>5767515</v>
      </c>
      <c r="P29" s="64"/>
      <c r="Q29" s="64">
        <v>0</v>
      </c>
      <c r="R29" s="64"/>
      <c r="S29" s="64">
        <v>0</v>
      </c>
      <c r="T29" s="64"/>
      <c r="U29" s="64">
        <v>0</v>
      </c>
      <c r="V29" s="64"/>
      <c r="W29" s="64">
        <f>848627+1372991</f>
        <v>2221618</v>
      </c>
      <c r="X29" s="64"/>
      <c r="Y29" s="91">
        <f t="shared" si="2"/>
        <v>76404995</v>
      </c>
      <c r="Z29" s="64"/>
      <c r="AA29" s="64">
        <v>21205597</v>
      </c>
      <c r="AB29" s="64"/>
      <c r="AC29" s="64">
        <v>0</v>
      </c>
      <c r="AD29" s="13" t="s">
        <v>274</v>
      </c>
      <c r="AF29" s="60" t="s">
        <v>195</v>
      </c>
      <c r="AG29" s="64"/>
      <c r="AH29" s="64">
        <f>10000000+53315</f>
        <v>10053315</v>
      </c>
      <c r="AI29" s="64"/>
      <c r="AJ29" s="64"/>
      <c r="AK29" s="64"/>
      <c r="AL29" s="64">
        <v>0</v>
      </c>
      <c r="AM29" s="64"/>
      <c r="AN29" s="64">
        <v>52385</v>
      </c>
      <c r="AO29" s="64"/>
      <c r="AP29" s="64"/>
      <c r="AQ29" s="64"/>
      <c r="AR29" s="64">
        <v>0</v>
      </c>
      <c r="AS29" s="64"/>
      <c r="AT29" s="36">
        <v>0</v>
      </c>
      <c r="AU29" s="64"/>
      <c r="AV29" s="91">
        <f t="shared" si="3"/>
        <v>31311297</v>
      </c>
      <c r="AW29" s="64"/>
      <c r="AX29" s="91">
        <f t="shared" si="1"/>
        <v>107716292</v>
      </c>
      <c r="AZ29" s="13" t="s">
        <v>401</v>
      </c>
    </row>
    <row r="30" spans="1:52" s="19" customFormat="1" ht="12">
      <c r="A30" s="2" t="s">
        <v>330</v>
      </c>
      <c r="C30" s="19" t="s">
        <v>193</v>
      </c>
      <c r="E30" s="19">
        <v>51045</v>
      </c>
      <c r="G30" s="36">
        <v>8839495</v>
      </c>
      <c r="H30" s="36"/>
      <c r="I30" s="36"/>
      <c r="J30" s="36"/>
      <c r="K30" s="36">
        <v>6712436</v>
      </c>
      <c r="L30" s="36"/>
      <c r="M30" s="36">
        <v>132609</v>
      </c>
      <c r="N30" s="36"/>
      <c r="O30" s="36">
        <v>1216800</v>
      </c>
      <c r="P30" s="36"/>
      <c r="Q30" s="36">
        <v>41745</v>
      </c>
      <c r="R30" s="36"/>
      <c r="S30" s="36">
        <v>0</v>
      </c>
      <c r="T30" s="36"/>
      <c r="U30" s="36">
        <v>0</v>
      </c>
      <c r="V30" s="36"/>
      <c r="W30" s="36">
        <v>330600</v>
      </c>
      <c r="X30" s="36"/>
      <c r="Y30" s="39">
        <f t="shared" si="2"/>
        <v>17273685</v>
      </c>
      <c r="Z30" s="36"/>
      <c r="AA30" s="36">
        <v>44012</v>
      </c>
      <c r="AB30" s="36"/>
      <c r="AC30" s="36">
        <v>0</v>
      </c>
      <c r="AD30" s="2" t="s">
        <v>330</v>
      </c>
      <c r="AF30" s="19" t="s">
        <v>193</v>
      </c>
      <c r="AG30" s="36"/>
      <c r="AH30" s="36">
        <v>0</v>
      </c>
      <c r="AI30" s="36"/>
      <c r="AJ30" s="36"/>
      <c r="AK30" s="36"/>
      <c r="AL30" s="36">
        <v>0</v>
      </c>
      <c r="AM30" s="36"/>
      <c r="AN30" s="36">
        <v>0</v>
      </c>
      <c r="AO30" s="36"/>
      <c r="AP30" s="36"/>
      <c r="AQ30" s="36"/>
      <c r="AR30" s="36">
        <v>8695</v>
      </c>
      <c r="AS30" s="36"/>
      <c r="AT30" s="64">
        <v>0</v>
      </c>
      <c r="AU30" s="36"/>
      <c r="AV30" s="39">
        <f t="shared" si="3"/>
        <v>52707</v>
      </c>
      <c r="AW30" s="36"/>
      <c r="AX30" s="39">
        <f t="shared" si="1"/>
        <v>17326392</v>
      </c>
    </row>
    <row r="31" spans="1:52" s="19" customFormat="1" ht="12">
      <c r="A31" s="2" t="s">
        <v>276</v>
      </c>
      <c r="C31" s="19" t="s">
        <v>200</v>
      </c>
      <c r="E31" s="19">
        <v>51128</v>
      </c>
      <c r="G31" s="36">
        <v>1576554</v>
      </c>
      <c r="H31" s="36"/>
      <c r="I31" s="36"/>
      <c r="J31" s="36"/>
      <c r="K31" s="36">
        <v>3378780</v>
      </c>
      <c r="L31" s="36"/>
      <c r="M31" s="36">
        <v>2200</v>
      </c>
      <c r="N31" s="36"/>
      <c r="O31" s="36">
        <v>314677</v>
      </c>
      <c r="P31" s="36"/>
      <c r="Q31" s="36">
        <v>10966</v>
      </c>
      <c r="R31" s="36"/>
      <c r="S31" s="36">
        <v>0</v>
      </c>
      <c r="T31" s="36"/>
      <c r="U31" s="36">
        <v>2550</v>
      </c>
      <c r="V31" s="36"/>
      <c r="W31" s="36">
        <v>109650</v>
      </c>
      <c r="X31" s="36"/>
      <c r="Y31" s="39">
        <f t="shared" si="2"/>
        <v>5395377</v>
      </c>
      <c r="Z31" s="36"/>
      <c r="AA31" s="36">
        <v>48436</v>
      </c>
      <c r="AB31" s="36"/>
      <c r="AC31" s="36">
        <v>0</v>
      </c>
      <c r="AD31" s="2" t="s">
        <v>276</v>
      </c>
      <c r="AF31" s="19" t="s">
        <v>200</v>
      </c>
      <c r="AG31" s="36"/>
      <c r="AH31" s="36">
        <v>0</v>
      </c>
      <c r="AI31" s="36"/>
      <c r="AJ31" s="36"/>
      <c r="AK31" s="36"/>
      <c r="AL31" s="36">
        <v>0</v>
      </c>
      <c r="AM31" s="36"/>
      <c r="AN31" s="36">
        <v>0</v>
      </c>
      <c r="AO31" s="36"/>
      <c r="AP31" s="36"/>
      <c r="AQ31" s="36"/>
      <c r="AR31" s="36">
        <v>0</v>
      </c>
      <c r="AS31" s="36"/>
      <c r="AT31" s="13">
        <v>0</v>
      </c>
      <c r="AU31" s="36"/>
      <c r="AV31" s="39">
        <f t="shared" si="3"/>
        <v>48436</v>
      </c>
      <c r="AW31" s="36"/>
      <c r="AX31" s="39">
        <f t="shared" si="1"/>
        <v>5443813</v>
      </c>
    </row>
    <row r="32" spans="1:52" s="19" customFormat="1" ht="12">
      <c r="A32" s="2" t="s">
        <v>331</v>
      </c>
      <c r="C32" s="19" t="s">
        <v>202</v>
      </c>
      <c r="E32" s="19">
        <v>51144</v>
      </c>
      <c r="G32" s="36">
        <v>4198587</v>
      </c>
      <c r="H32" s="36"/>
      <c r="I32" s="36"/>
      <c r="J32" s="36"/>
      <c r="K32" s="36">
        <v>7157637</v>
      </c>
      <c r="L32" s="36"/>
      <c r="M32" s="36">
        <v>494083</v>
      </c>
      <c r="N32" s="36"/>
      <c r="O32" s="36">
        <v>1297875</v>
      </c>
      <c r="P32" s="36"/>
      <c r="Q32" s="36">
        <v>0</v>
      </c>
      <c r="R32" s="36"/>
      <c r="S32" s="36">
        <v>86018</v>
      </c>
      <c r="T32" s="36"/>
      <c r="U32" s="36">
        <v>73652</v>
      </c>
      <c r="V32" s="36"/>
      <c r="W32" s="36">
        <v>286563</v>
      </c>
      <c r="X32" s="36"/>
      <c r="Y32" s="39">
        <f t="shared" si="2"/>
        <v>13594415</v>
      </c>
      <c r="Z32" s="36"/>
      <c r="AA32" s="36">
        <v>405091</v>
      </c>
      <c r="AB32" s="36"/>
      <c r="AC32" s="36">
        <v>0</v>
      </c>
      <c r="AD32" s="2" t="s">
        <v>331</v>
      </c>
      <c r="AF32" s="19" t="s">
        <v>202</v>
      </c>
      <c r="AG32" s="36"/>
      <c r="AH32" s="36">
        <v>0</v>
      </c>
      <c r="AI32" s="36"/>
      <c r="AJ32" s="36"/>
      <c r="AK32" s="36"/>
      <c r="AL32" s="36">
        <v>0</v>
      </c>
      <c r="AM32" s="36"/>
      <c r="AN32" s="36">
        <v>826</v>
      </c>
      <c r="AO32" s="36"/>
      <c r="AP32" s="36"/>
      <c r="AQ32" s="36"/>
      <c r="AR32" s="36">
        <v>0</v>
      </c>
      <c r="AS32" s="36"/>
      <c r="AT32" s="64">
        <v>0</v>
      </c>
      <c r="AU32" s="36"/>
      <c r="AV32" s="39">
        <f t="shared" si="3"/>
        <v>405917</v>
      </c>
      <c r="AW32" s="36"/>
      <c r="AX32" s="39">
        <f t="shared" si="1"/>
        <v>14000332</v>
      </c>
    </row>
    <row r="33" spans="1:52" s="19" customFormat="1" ht="12">
      <c r="A33" s="2" t="s">
        <v>278</v>
      </c>
      <c r="C33" s="19" t="s">
        <v>205</v>
      </c>
      <c r="E33" s="19">
        <v>51185</v>
      </c>
      <c r="G33" s="36">
        <v>1802336</v>
      </c>
      <c r="H33" s="36"/>
      <c r="I33" s="36"/>
      <c r="J33" s="36"/>
      <c r="K33" s="36">
        <v>8041498</v>
      </c>
      <c r="L33" s="36"/>
      <c r="M33" s="36">
        <v>294396</v>
      </c>
      <c r="N33" s="36"/>
      <c r="O33" s="36">
        <v>1892235</v>
      </c>
      <c r="P33" s="36"/>
      <c r="Q33" s="36">
        <v>0</v>
      </c>
      <c r="R33" s="36"/>
      <c r="S33" s="36">
        <v>30720</v>
      </c>
      <c r="T33" s="36"/>
      <c r="U33" s="36">
        <v>0</v>
      </c>
      <c r="V33" s="36"/>
      <c r="W33" s="36">
        <f>384729+302933</f>
        <v>687662</v>
      </c>
      <c r="X33" s="36"/>
      <c r="Y33" s="39">
        <f t="shared" si="2"/>
        <v>12748847</v>
      </c>
      <c r="Z33" s="36"/>
      <c r="AA33" s="36">
        <v>140022</v>
      </c>
      <c r="AB33" s="36"/>
      <c r="AC33" s="36">
        <v>0</v>
      </c>
      <c r="AD33" s="2" t="s">
        <v>278</v>
      </c>
      <c r="AF33" s="19" t="s">
        <v>205</v>
      </c>
      <c r="AG33" s="36"/>
      <c r="AH33" s="36">
        <v>0</v>
      </c>
      <c r="AI33" s="36"/>
      <c r="AJ33" s="36"/>
      <c r="AK33" s="36"/>
      <c r="AL33" s="36">
        <v>0</v>
      </c>
      <c r="AM33" s="36"/>
      <c r="AN33" s="36">
        <v>0</v>
      </c>
      <c r="AO33" s="36"/>
      <c r="AP33" s="36"/>
      <c r="AQ33" s="36"/>
      <c r="AR33" s="36">
        <v>0</v>
      </c>
      <c r="AS33" s="36"/>
      <c r="AT33" s="36">
        <v>0</v>
      </c>
      <c r="AU33" s="36"/>
      <c r="AV33" s="39">
        <f t="shared" si="3"/>
        <v>140022</v>
      </c>
      <c r="AW33" s="36"/>
      <c r="AX33" s="39">
        <f t="shared" si="1"/>
        <v>12888869</v>
      </c>
      <c r="AZ33" s="95"/>
    </row>
    <row r="34" spans="1:52" s="71" customFormat="1" ht="12" hidden="1">
      <c r="A34" s="69" t="s">
        <v>362</v>
      </c>
      <c r="C34" s="71" t="s">
        <v>207</v>
      </c>
      <c r="E34" s="71">
        <v>47977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9">
        <f t="shared" si="2"/>
        <v>0</v>
      </c>
      <c r="Z34" s="78"/>
      <c r="AA34" s="78"/>
      <c r="AB34" s="78"/>
      <c r="AC34" s="78">
        <v>0</v>
      </c>
      <c r="AD34" s="69" t="s">
        <v>362</v>
      </c>
      <c r="AF34" s="71" t="s">
        <v>207</v>
      </c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64">
        <v>0</v>
      </c>
      <c r="AU34" s="78"/>
      <c r="AV34" s="79">
        <f t="shared" si="3"/>
        <v>0</v>
      </c>
      <c r="AW34" s="78"/>
      <c r="AX34" s="79">
        <f t="shared" si="1"/>
        <v>0</v>
      </c>
      <c r="AZ34" s="93" t="s">
        <v>404</v>
      </c>
    </row>
    <row r="35" spans="1:52" s="19" customFormat="1" ht="12">
      <c r="A35" s="2" t="s">
        <v>280</v>
      </c>
      <c r="C35" s="19" t="s">
        <v>154</v>
      </c>
      <c r="E35" s="19">
        <v>51227</v>
      </c>
      <c r="G35" s="36">
        <v>10257688</v>
      </c>
      <c r="H35" s="36"/>
      <c r="I35" s="36"/>
      <c r="J35" s="36"/>
      <c r="K35" s="36">
        <v>10982611</v>
      </c>
      <c r="L35" s="36"/>
      <c r="M35" s="36">
        <v>276978</v>
      </c>
      <c r="N35" s="36"/>
      <c r="O35" s="36">
        <v>1312487</v>
      </c>
      <c r="P35" s="36"/>
      <c r="Q35" s="36">
        <v>0</v>
      </c>
      <c r="R35" s="36"/>
      <c r="S35" s="36">
        <v>0</v>
      </c>
      <c r="T35" s="36"/>
      <c r="U35" s="36">
        <v>0</v>
      </c>
      <c r="V35" s="36"/>
      <c r="W35" s="36">
        <f>18810+689081</f>
        <v>707891</v>
      </c>
      <c r="X35" s="36"/>
      <c r="Y35" s="39">
        <f t="shared" si="2"/>
        <v>23537655</v>
      </c>
      <c r="Z35" s="36"/>
      <c r="AA35" s="36">
        <v>825000</v>
      </c>
      <c r="AB35" s="36"/>
      <c r="AC35" s="36">
        <v>0</v>
      </c>
      <c r="AD35" s="2" t="s">
        <v>280</v>
      </c>
      <c r="AF35" s="19" t="s">
        <v>154</v>
      </c>
      <c r="AG35" s="36"/>
      <c r="AH35" s="36">
        <v>0</v>
      </c>
      <c r="AI35" s="36"/>
      <c r="AJ35" s="36"/>
      <c r="AK35" s="36"/>
      <c r="AL35" s="36">
        <v>0</v>
      </c>
      <c r="AM35" s="36"/>
      <c r="AN35" s="36">
        <v>0</v>
      </c>
      <c r="AO35" s="36"/>
      <c r="AP35" s="36"/>
      <c r="AQ35" s="36"/>
      <c r="AR35" s="36">
        <v>0</v>
      </c>
      <c r="AS35" s="36"/>
      <c r="AT35" s="13">
        <v>0</v>
      </c>
      <c r="AU35" s="36"/>
      <c r="AV35" s="39">
        <f t="shared" si="3"/>
        <v>825000</v>
      </c>
      <c r="AW35" s="36"/>
      <c r="AX35" s="39">
        <f t="shared" si="1"/>
        <v>24362655</v>
      </c>
    </row>
    <row r="36" spans="1:52" s="19" customFormat="1" ht="12">
      <c r="A36" s="2" t="s">
        <v>283</v>
      </c>
      <c r="C36" s="19" t="s">
        <v>214</v>
      </c>
      <c r="E36" s="19">
        <v>51243</v>
      </c>
      <c r="G36" s="36">
        <v>6199372</v>
      </c>
      <c r="H36" s="36"/>
      <c r="I36" s="36"/>
      <c r="J36" s="36"/>
      <c r="K36" s="36">
        <v>5060769</v>
      </c>
      <c r="L36" s="36"/>
      <c r="M36" s="36">
        <v>872099</v>
      </c>
      <c r="N36" s="36"/>
      <c r="O36" s="36">
        <v>690968</v>
      </c>
      <c r="P36" s="36"/>
      <c r="Q36" s="36">
        <v>39526</v>
      </c>
      <c r="R36" s="36"/>
      <c r="S36" s="36">
        <v>0</v>
      </c>
      <c r="T36" s="36"/>
      <c r="U36" s="36">
        <v>1667</v>
      </c>
      <c r="V36" s="36"/>
      <c r="W36" s="36">
        <f>54738+161386</f>
        <v>216124</v>
      </c>
      <c r="X36" s="36"/>
      <c r="Y36" s="39">
        <f t="shared" si="2"/>
        <v>13080525</v>
      </c>
      <c r="Z36" s="36"/>
      <c r="AA36" s="36">
        <v>1784008</v>
      </c>
      <c r="AB36" s="36"/>
      <c r="AC36" s="36">
        <v>0</v>
      </c>
      <c r="AD36" s="2" t="s">
        <v>283</v>
      </c>
      <c r="AF36" s="19" t="s">
        <v>214</v>
      </c>
      <c r="AG36" s="36"/>
      <c r="AH36" s="36">
        <v>15300000</v>
      </c>
      <c r="AI36" s="36"/>
      <c r="AJ36" s="36"/>
      <c r="AK36" s="36"/>
      <c r="AL36" s="36">
        <v>0</v>
      </c>
      <c r="AM36" s="36"/>
      <c r="AN36" s="36">
        <v>0</v>
      </c>
      <c r="AO36" s="36"/>
      <c r="AP36" s="36"/>
      <c r="AQ36" s="36"/>
      <c r="AR36" s="36">
        <v>0</v>
      </c>
      <c r="AS36" s="36"/>
      <c r="AT36" s="64">
        <v>0</v>
      </c>
      <c r="AU36" s="36"/>
      <c r="AV36" s="39">
        <f t="shared" si="3"/>
        <v>17084008</v>
      </c>
      <c r="AW36" s="36"/>
      <c r="AX36" s="39">
        <f t="shared" si="1"/>
        <v>30164533</v>
      </c>
      <c r="AZ36" s="95"/>
    </row>
    <row r="37" spans="1:52" s="19" customFormat="1" ht="12">
      <c r="A37" s="2" t="s">
        <v>332</v>
      </c>
      <c r="C37" s="19" t="s">
        <v>230</v>
      </c>
      <c r="E37" s="19">
        <v>51391</v>
      </c>
      <c r="G37" s="36">
        <v>6662724</v>
      </c>
      <c r="H37" s="36"/>
      <c r="I37" s="36"/>
      <c r="J37" s="36"/>
      <c r="K37" s="36">
        <v>6437325</v>
      </c>
      <c r="L37" s="36"/>
      <c r="M37" s="36">
        <v>404689</v>
      </c>
      <c r="N37" s="36"/>
      <c r="O37" s="36">
        <v>418904</v>
      </c>
      <c r="P37" s="36"/>
      <c r="Q37" s="36">
        <v>0</v>
      </c>
      <c r="R37" s="36"/>
      <c r="S37" s="36">
        <v>0</v>
      </c>
      <c r="T37" s="36"/>
      <c r="U37" s="36">
        <v>1814</v>
      </c>
      <c r="V37" s="36"/>
      <c r="W37" s="36">
        <f>116373+262413+50962</f>
        <v>429748</v>
      </c>
      <c r="X37" s="36"/>
      <c r="Y37" s="39">
        <f t="shared" si="2"/>
        <v>14355204</v>
      </c>
      <c r="Z37" s="36"/>
      <c r="AA37" s="36">
        <v>4561</v>
      </c>
      <c r="AB37" s="36"/>
      <c r="AC37" s="36">
        <v>0</v>
      </c>
      <c r="AD37" s="2" t="s">
        <v>332</v>
      </c>
      <c r="AF37" s="19" t="s">
        <v>230</v>
      </c>
      <c r="AG37" s="36"/>
      <c r="AH37" s="36">
        <v>0</v>
      </c>
      <c r="AI37" s="36"/>
      <c r="AJ37" s="36"/>
      <c r="AK37" s="36"/>
      <c r="AL37" s="36">
        <v>0</v>
      </c>
      <c r="AM37" s="36"/>
      <c r="AN37" s="36">
        <v>0</v>
      </c>
      <c r="AO37" s="36"/>
      <c r="AP37" s="36"/>
      <c r="AQ37" s="36"/>
      <c r="AR37" s="36">
        <v>0</v>
      </c>
      <c r="AS37" s="36"/>
      <c r="AT37" s="36">
        <v>0</v>
      </c>
      <c r="AU37" s="36"/>
      <c r="AV37" s="39">
        <f t="shared" si="3"/>
        <v>4561</v>
      </c>
      <c r="AW37" s="36"/>
      <c r="AX37" s="39">
        <f t="shared" si="1"/>
        <v>14359765</v>
      </c>
      <c r="AZ37" s="95"/>
    </row>
    <row r="38" spans="1:52" s="19" customFormat="1" ht="12">
      <c r="A38" s="2" t="s">
        <v>286</v>
      </c>
      <c r="C38" s="19" t="s">
        <v>216</v>
      </c>
      <c r="E38" s="19">
        <v>62109</v>
      </c>
      <c r="G38" s="36">
        <v>7947134</v>
      </c>
      <c r="H38" s="36"/>
      <c r="I38" s="36"/>
      <c r="J38" s="36"/>
      <c r="K38" s="36">
        <v>8913753</v>
      </c>
      <c r="L38" s="36"/>
      <c r="M38" s="36">
        <v>85218</v>
      </c>
      <c r="N38" s="36"/>
      <c r="O38" s="36">
        <v>32471</v>
      </c>
      <c r="P38" s="36"/>
      <c r="Q38" s="36">
        <v>19333</v>
      </c>
      <c r="R38" s="36"/>
      <c r="S38" s="36">
        <v>0</v>
      </c>
      <c r="T38" s="36"/>
      <c r="U38" s="36">
        <v>0</v>
      </c>
      <c r="V38" s="36"/>
      <c r="W38" s="36">
        <f>3385+107801+49101</f>
        <v>160287</v>
      </c>
      <c r="X38" s="36"/>
      <c r="Y38" s="39">
        <f t="shared" si="2"/>
        <v>17158196</v>
      </c>
      <c r="Z38" s="36"/>
      <c r="AA38" s="36">
        <v>0</v>
      </c>
      <c r="AB38" s="36"/>
      <c r="AC38" s="36">
        <v>0</v>
      </c>
      <c r="AD38" s="2" t="s">
        <v>352</v>
      </c>
      <c r="AF38" s="19" t="s">
        <v>216</v>
      </c>
      <c r="AG38" s="36"/>
      <c r="AH38" s="36">
        <v>0</v>
      </c>
      <c r="AI38" s="36"/>
      <c r="AJ38" s="36"/>
      <c r="AK38" s="36"/>
      <c r="AL38" s="36">
        <v>0</v>
      </c>
      <c r="AM38" s="36"/>
      <c r="AN38" s="36">
        <v>15218</v>
      </c>
      <c r="AO38" s="36"/>
      <c r="AP38" s="36"/>
      <c r="AQ38" s="36"/>
      <c r="AR38" s="36">
        <v>0</v>
      </c>
      <c r="AS38" s="36"/>
      <c r="AT38" s="64">
        <v>0</v>
      </c>
      <c r="AU38" s="36"/>
      <c r="AV38" s="39">
        <f t="shared" si="3"/>
        <v>15218</v>
      </c>
      <c r="AW38" s="36"/>
      <c r="AX38" s="39">
        <f t="shared" si="1"/>
        <v>17173414</v>
      </c>
      <c r="AZ38" s="95"/>
    </row>
    <row r="39" spans="1:52" s="19" customFormat="1" ht="12">
      <c r="A39" s="2" t="s">
        <v>333</v>
      </c>
      <c r="C39" s="19" t="s">
        <v>222</v>
      </c>
      <c r="E39" s="19">
        <v>51284</v>
      </c>
      <c r="G39" s="36">
        <v>12812269</v>
      </c>
      <c r="H39" s="36"/>
      <c r="I39" s="36"/>
      <c r="J39" s="36"/>
      <c r="K39" s="36">
        <v>18076559</v>
      </c>
      <c r="L39" s="36"/>
      <c r="M39" s="36">
        <v>215450</v>
      </c>
      <c r="N39" s="36"/>
      <c r="O39" s="36">
        <v>3221021</v>
      </c>
      <c r="P39" s="36"/>
      <c r="Q39" s="36">
        <v>18395</v>
      </c>
      <c r="R39" s="36"/>
      <c r="S39" s="36">
        <v>0</v>
      </c>
      <c r="T39" s="36"/>
      <c r="U39" s="36">
        <v>0</v>
      </c>
      <c r="V39" s="36"/>
      <c r="W39" s="36">
        <f>116707+483790</f>
        <v>600497</v>
      </c>
      <c r="X39" s="36"/>
      <c r="Y39" s="39">
        <f t="shared" si="2"/>
        <v>34944191</v>
      </c>
      <c r="Z39" s="36"/>
      <c r="AA39" s="36">
        <v>697866</v>
      </c>
      <c r="AB39" s="36"/>
      <c r="AC39" s="36">
        <v>0</v>
      </c>
      <c r="AD39" s="2" t="s">
        <v>333</v>
      </c>
      <c r="AF39" s="19" t="s">
        <v>222</v>
      </c>
      <c r="AG39" s="36"/>
      <c r="AH39" s="36">
        <v>6900000</v>
      </c>
      <c r="AI39" s="36"/>
      <c r="AJ39" s="36"/>
      <c r="AK39" s="36"/>
      <c r="AL39" s="36">
        <v>0</v>
      </c>
      <c r="AM39" s="36"/>
      <c r="AN39" s="36">
        <v>0</v>
      </c>
      <c r="AO39" s="36"/>
      <c r="AP39" s="36"/>
      <c r="AQ39" s="36"/>
      <c r="AR39" s="36">
        <v>0</v>
      </c>
      <c r="AS39" s="36"/>
      <c r="AT39" s="13">
        <v>0</v>
      </c>
      <c r="AU39" s="36"/>
      <c r="AV39" s="39">
        <f t="shared" si="3"/>
        <v>7597866</v>
      </c>
      <c r="AW39" s="36"/>
      <c r="AX39" s="39">
        <f t="shared" si="1"/>
        <v>42542057</v>
      </c>
      <c r="AZ39" s="95"/>
    </row>
    <row r="40" spans="1:52" s="19" customFormat="1" ht="12">
      <c r="A40" s="2" t="s">
        <v>334</v>
      </c>
      <c r="C40" s="19" t="s">
        <v>224</v>
      </c>
      <c r="E40" s="19">
        <v>51300</v>
      </c>
      <c r="G40" s="36">
        <v>5043320</v>
      </c>
      <c r="H40" s="36"/>
      <c r="I40" s="36"/>
      <c r="J40" s="36"/>
      <c r="K40" s="36">
        <v>10210330</v>
      </c>
      <c r="L40" s="36"/>
      <c r="M40" s="36">
        <v>355879</v>
      </c>
      <c r="N40" s="36"/>
      <c r="O40" s="36">
        <v>1929579</v>
      </c>
      <c r="P40" s="36"/>
      <c r="Q40" s="36">
        <v>0</v>
      </c>
      <c r="R40" s="36"/>
      <c r="S40" s="36">
        <v>28364</v>
      </c>
      <c r="T40" s="36"/>
      <c r="U40" s="36">
        <v>0</v>
      </c>
      <c r="V40" s="36"/>
      <c r="W40" s="36">
        <f>1060+442258+116888</f>
        <v>560206</v>
      </c>
      <c r="X40" s="36"/>
      <c r="Y40" s="39">
        <f t="shared" si="2"/>
        <v>18127678</v>
      </c>
      <c r="Z40" s="36"/>
      <c r="AA40" s="36">
        <v>645000</v>
      </c>
      <c r="AB40" s="36"/>
      <c r="AC40" s="36">
        <v>0</v>
      </c>
      <c r="AD40" s="2" t="s">
        <v>334</v>
      </c>
      <c r="AF40" s="19" t="s">
        <v>224</v>
      </c>
      <c r="AG40" s="36"/>
      <c r="AH40" s="36">
        <v>0</v>
      </c>
      <c r="AI40" s="36"/>
      <c r="AJ40" s="36"/>
      <c r="AK40" s="36"/>
      <c r="AL40" s="36">
        <v>0</v>
      </c>
      <c r="AM40" s="36"/>
      <c r="AN40" s="36">
        <v>0</v>
      </c>
      <c r="AO40" s="36"/>
      <c r="AP40" s="36"/>
      <c r="AQ40" s="36"/>
      <c r="AR40" s="36">
        <v>0</v>
      </c>
      <c r="AS40" s="36"/>
      <c r="AT40" s="64">
        <v>0</v>
      </c>
      <c r="AU40" s="36"/>
      <c r="AV40" s="39">
        <f t="shared" si="3"/>
        <v>645000</v>
      </c>
      <c r="AW40" s="36"/>
      <c r="AX40" s="39">
        <f t="shared" si="1"/>
        <v>18772678</v>
      </c>
      <c r="AZ40" s="95"/>
    </row>
    <row r="41" spans="1:52" s="60" customFormat="1" ht="12" hidden="1">
      <c r="A41" s="13" t="s">
        <v>279</v>
      </c>
      <c r="C41" s="60" t="s">
        <v>209</v>
      </c>
      <c r="E41" s="60">
        <v>51334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9">
        <f t="shared" si="2"/>
        <v>0</v>
      </c>
      <c r="Z41" s="36"/>
      <c r="AA41" s="36"/>
      <c r="AB41" s="36"/>
      <c r="AC41" s="36">
        <v>0</v>
      </c>
      <c r="AD41" s="13" t="s">
        <v>279</v>
      </c>
      <c r="AF41" s="60" t="s">
        <v>209</v>
      </c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>
        <v>0</v>
      </c>
      <c r="AU41" s="36"/>
      <c r="AV41" s="39">
        <f t="shared" si="3"/>
        <v>0</v>
      </c>
      <c r="AW41" s="36"/>
      <c r="AX41" s="39">
        <f t="shared" si="1"/>
        <v>0</v>
      </c>
    </row>
    <row r="42" spans="1:52" s="19" customFormat="1" ht="12">
      <c r="A42" s="2" t="s">
        <v>335</v>
      </c>
      <c r="C42" s="19" t="s">
        <v>264</v>
      </c>
      <c r="E42" s="19">
        <v>51359</v>
      </c>
      <c r="G42" s="36">
        <v>15166212</v>
      </c>
      <c r="H42" s="36"/>
      <c r="I42" s="36"/>
      <c r="J42" s="36"/>
      <c r="K42" s="36">
        <f>16873057+947704</f>
        <v>17820761</v>
      </c>
      <c r="L42" s="36"/>
      <c r="M42" s="36">
        <v>816096</v>
      </c>
      <c r="N42" s="36"/>
      <c r="O42" s="36">
        <v>425500</v>
      </c>
      <c r="P42" s="36"/>
      <c r="Q42" s="36">
        <v>20347</v>
      </c>
      <c r="R42" s="36"/>
      <c r="S42" s="36">
        <v>0</v>
      </c>
      <c r="T42" s="36"/>
      <c r="U42" s="36">
        <v>184559</v>
      </c>
      <c r="V42" s="36"/>
      <c r="W42" s="36">
        <f>51641+11082+686092</f>
        <v>748815</v>
      </c>
      <c r="X42" s="36"/>
      <c r="Y42" s="39">
        <f t="shared" si="2"/>
        <v>35182290</v>
      </c>
      <c r="Z42" s="36"/>
      <c r="AA42" s="36">
        <v>16072682</v>
      </c>
      <c r="AB42" s="36"/>
      <c r="AC42" s="36">
        <v>0</v>
      </c>
      <c r="AD42" s="2" t="s">
        <v>335</v>
      </c>
      <c r="AF42" s="19" t="s">
        <v>264</v>
      </c>
      <c r="AG42" s="36"/>
      <c r="AH42" s="36">
        <v>0</v>
      </c>
      <c r="AI42" s="36"/>
      <c r="AJ42" s="36"/>
      <c r="AK42" s="36"/>
      <c r="AL42" s="36">
        <v>120541</v>
      </c>
      <c r="AM42" s="36"/>
      <c r="AN42" s="36">
        <v>0</v>
      </c>
      <c r="AO42" s="36"/>
      <c r="AP42" s="36"/>
      <c r="AQ42" s="36"/>
      <c r="AR42" s="36">
        <v>0</v>
      </c>
      <c r="AS42" s="36"/>
      <c r="AT42" s="64">
        <v>0</v>
      </c>
      <c r="AU42" s="36"/>
      <c r="AV42" s="39">
        <f t="shared" si="3"/>
        <v>16193223</v>
      </c>
      <c r="AW42" s="36"/>
      <c r="AX42" s="39">
        <f t="shared" si="1"/>
        <v>51375513</v>
      </c>
    </row>
    <row r="43" spans="1:52" s="19" customFormat="1" ht="12">
      <c r="A43" s="2" t="s">
        <v>336</v>
      </c>
      <c r="C43" s="19" t="s">
        <v>238</v>
      </c>
      <c r="E43" s="19">
        <v>51433</v>
      </c>
      <c r="G43" s="36">
        <v>4823622</v>
      </c>
      <c r="H43" s="36"/>
      <c r="I43" s="36"/>
      <c r="J43" s="36"/>
      <c r="K43" s="36">
        <v>13697772</v>
      </c>
      <c r="L43" s="36"/>
      <c r="M43" s="36">
        <v>171015</v>
      </c>
      <c r="N43" s="36"/>
      <c r="O43" s="36">
        <v>1286621</v>
      </c>
      <c r="P43" s="36"/>
      <c r="Q43" s="36">
        <v>0</v>
      </c>
      <c r="R43" s="36"/>
      <c r="S43" s="36">
        <v>450</v>
      </c>
      <c r="T43" s="36"/>
      <c r="U43" s="36">
        <v>10135</v>
      </c>
      <c r="V43" s="36"/>
      <c r="W43" s="36">
        <f>313949+1032141+2368</f>
        <v>1348458</v>
      </c>
      <c r="X43" s="36"/>
      <c r="Y43" s="39">
        <f t="shared" si="2"/>
        <v>21338073</v>
      </c>
      <c r="Z43" s="36"/>
      <c r="AA43" s="36">
        <v>373015</v>
      </c>
      <c r="AB43" s="36"/>
      <c r="AC43" s="36">
        <v>0</v>
      </c>
      <c r="AD43" s="2" t="s">
        <v>336</v>
      </c>
      <c r="AF43" s="19" t="s">
        <v>238</v>
      </c>
      <c r="AG43" s="36"/>
      <c r="AH43" s="36">
        <v>0</v>
      </c>
      <c r="AI43" s="36"/>
      <c r="AJ43" s="36"/>
      <c r="AK43" s="36"/>
      <c r="AL43" s="36">
        <v>0</v>
      </c>
      <c r="AM43" s="36"/>
      <c r="AN43" s="36">
        <v>19073</v>
      </c>
      <c r="AO43" s="36"/>
      <c r="AP43" s="36"/>
      <c r="AQ43" s="36"/>
      <c r="AR43" s="36">
        <v>0</v>
      </c>
      <c r="AS43" s="36"/>
      <c r="AT43" s="13">
        <v>0</v>
      </c>
      <c r="AU43" s="36"/>
      <c r="AV43" s="39">
        <f t="shared" si="3"/>
        <v>392088</v>
      </c>
      <c r="AW43" s="36"/>
      <c r="AX43" s="39">
        <f t="shared" si="1"/>
        <v>21730161</v>
      </c>
    </row>
    <row r="44" spans="1:52" s="19" customFormat="1" ht="12">
      <c r="A44" s="2" t="s">
        <v>337</v>
      </c>
      <c r="C44" s="19" t="s">
        <v>288</v>
      </c>
      <c r="E44" s="19">
        <v>51375</v>
      </c>
      <c r="G44" s="36">
        <v>1243673</v>
      </c>
      <c r="H44" s="36"/>
      <c r="I44" s="36"/>
      <c r="J44" s="36"/>
      <c r="K44" s="36">
        <v>6317328</v>
      </c>
      <c r="L44" s="36"/>
      <c r="M44" s="36">
        <v>157046</v>
      </c>
      <c r="N44" s="36"/>
      <c r="O44" s="36">
        <v>332487</v>
      </c>
      <c r="P44" s="36"/>
      <c r="Q44" s="36">
        <v>0</v>
      </c>
      <c r="R44" s="36"/>
      <c r="S44" s="36">
        <v>643</v>
      </c>
      <c r="T44" s="36"/>
      <c r="U44" s="36">
        <v>4706</v>
      </c>
      <c r="V44" s="36"/>
      <c r="W44" s="36">
        <f>64665+142649+53975-11935</f>
        <v>249354</v>
      </c>
      <c r="X44" s="36"/>
      <c r="Y44" s="39">
        <f t="shared" si="2"/>
        <v>8305237</v>
      </c>
      <c r="Z44" s="36"/>
      <c r="AA44" s="36">
        <v>407416</v>
      </c>
      <c r="AB44" s="36"/>
      <c r="AC44" s="36">
        <v>0</v>
      </c>
      <c r="AD44" s="2" t="s">
        <v>337</v>
      </c>
      <c r="AF44" s="19" t="s">
        <v>288</v>
      </c>
      <c r="AG44" s="36"/>
      <c r="AH44" s="36">
        <v>0</v>
      </c>
      <c r="AI44" s="36"/>
      <c r="AJ44" s="36"/>
      <c r="AK44" s="36"/>
      <c r="AL44" s="36">
        <v>0</v>
      </c>
      <c r="AM44" s="36"/>
      <c r="AN44" s="36">
        <v>0</v>
      </c>
      <c r="AO44" s="36"/>
      <c r="AP44" s="36"/>
      <c r="AQ44" s="36"/>
      <c r="AR44" s="36">
        <v>0</v>
      </c>
      <c r="AS44" s="36"/>
      <c r="AT44" s="64">
        <v>0</v>
      </c>
      <c r="AU44" s="36"/>
      <c r="AV44" s="39">
        <f t="shared" si="3"/>
        <v>407416</v>
      </c>
      <c r="AW44" s="36"/>
      <c r="AX44" s="39">
        <f t="shared" ref="AX44:AX62" si="4">+AV44+Y44</f>
        <v>8712653</v>
      </c>
    </row>
    <row r="45" spans="1:52" s="19" customFormat="1" ht="12">
      <c r="A45" s="2" t="s">
        <v>338</v>
      </c>
      <c r="C45" s="19" t="s">
        <v>236</v>
      </c>
      <c r="E45" s="19">
        <v>51417</v>
      </c>
      <c r="G45" s="36">
        <v>4746216</v>
      </c>
      <c r="H45" s="36"/>
      <c r="I45" s="36"/>
      <c r="J45" s="36"/>
      <c r="K45" s="36">
        <f>289091+15826965+990947</f>
        <v>17107003</v>
      </c>
      <c r="L45" s="36"/>
      <c r="M45" s="36">
        <v>782587</v>
      </c>
      <c r="N45" s="36"/>
      <c r="O45" s="36">
        <v>291067</v>
      </c>
      <c r="P45" s="36"/>
      <c r="Q45" s="36">
        <v>15788</v>
      </c>
      <c r="R45" s="36"/>
      <c r="S45" s="36">
        <v>0</v>
      </c>
      <c r="T45" s="36"/>
      <c r="U45" s="36">
        <v>4443</v>
      </c>
      <c r="V45" s="36"/>
      <c r="W45" s="36">
        <f>74937+237503+196521+239328</f>
        <v>748289</v>
      </c>
      <c r="X45" s="36"/>
      <c r="Y45" s="39">
        <f t="shared" si="2"/>
        <v>23695393</v>
      </c>
      <c r="Z45" s="36"/>
      <c r="AA45" s="36">
        <v>1312906</v>
      </c>
      <c r="AB45" s="36"/>
      <c r="AC45" s="36">
        <v>0</v>
      </c>
      <c r="AD45" s="2" t="s">
        <v>338</v>
      </c>
      <c r="AF45" s="19" t="s">
        <v>236</v>
      </c>
      <c r="AG45" s="36"/>
      <c r="AH45" s="36">
        <v>11970000</v>
      </c>
      <c r="AI45" s="36"/>
      <c r="AJ45" s="36"/>
      <c r="AK45" s="36"/>
      <c r="AL45" s="36">
        <v>49321</v>
      </c>
      <c r="AM45" s="36"/>
      <c r="AN45" s="36">
        <v>9733</v>
      </c>
      <c r="AO45" s="36"/>
      <c r="AP45" s="36"/>
      <c r="AQ45" s="36"/>
      <c r="AR45" s="36">
        <v>0</v>
      </c>
      <c r="AS45" s="36"/>
      <c r="AT45" s="36">
        <v>0</v>
      </c>
      <c r="AU45" s="36"/>
      <c r="AV45" s="39">
        <f t="shared" si="3"/>
        <v>13341960</v>
      </c>
      <c r="AW45" s="36"/>
      <c r="AX45" s="39">
        <f t="shared" si="4"/>
        <v>37037353</v>
      </c>
    </row>
    <row r="46" spans="1:52" s="19" customFormat="1" ht="12">
      <c r="A46" s="2" t="s">
        <v>339</v>
      </c>
      <c r="C46" s="19" t="s">
        <v>177</v>
      </c>
      <c r="E46" s="19">
        <v>50948</v>
      </c>
      <c r="G46" s="36">
        <v>9392499</v>
      </c>
      <c r="H46" s="36"/>
      <c r="I46" s="36"/>
      <c r="J46" s="36"/>
      <c r="K46" s="36">
        <v>4867550</v>
      </c>
      <c r="L46" s="36"/>
      <c r="M46" s="36">
        <v>313855</v>
      </c>
      <c r="N46" s="36"/>
      <c r="O46" s="36">
        <v>177660</v>
      </c>
      <c r="P46" s="36"/>
      <c r="Q46" s="36">
        <v>0</v>
      </c>
      <c r="R46" s="36"/>
      <c r="S46" s="36">
        <v>0</v>
      </c>
      <c r="T46" s="36"/>
      <c r="U46" s="36">
        <v>0</v>
      </c>
      <c r="V46" s="36"/>
      <c r="W46" s="36">
        <v>67158</v>
      </c>
      <c r="X46" s="36"/>
      <c r="Y46" s="39">
        <f t="shared" si="2"/>
        <v>14818722</v>
      </c>
      <c r="Z46" s="36"/>
      <c r="AA46" s="36">
        <v>0</v>
      </c>
      <c r="AB46" s="36"/>
      <c r="AC46" s="36">
        <v>0</v>
      </c>
      <c r="AD46" s="2" t="s">
        <v>339</v>
      </c>
      <c r="AF46" s="19" t="s">
        <v>177</v>
      </c>
      <c r="AG46" s="36"/>
      <c r="AH46" s="36">
        <v>0</v>
      </c>
      <c r="AI46" s="36"/>
      <c r="AJ46" s="36"/>
      <c r="AK46" s="36"/>
      <c r="AL46" s="36">
        <v>0</v>
      </c>
      <c r="AM46" s="36"/>
      <c r="AN46" s="36">
        <v>25311</v>
      </c>
      <c r="AO46" s="36"/>
      <c r="AP46" s="36"/>
      <c r="AQ46" s="36"/>
      <c r="AR46" s="36">
        <v>0</v>
      </c>
      <c r="AS46" s="36"/>
      <c r="AT46" s="64">
        <v>0</v>
      </c>
      <c r="AU46" s="36"/>
      <c r="AV46" s="39">
        <f t="shared" si="3"/>
        <v>25311</v>
      </c>
      <c r="AW46" s="36"/>
      <c r="AX46" s="39">
        <f t="shared" si="4"/>
        <v>14844033</v>
      </c>
      <c r="AZ46" s="13" t="s">
        <v>401</v>
      </c>
    </row>
    <row r="47" spans="1:52" s="19" customFormat="1" ht="12">
      <c r="A47" s="2" t="s">
        <v>340</v>
      </c>
      <c r="C47" s="19" t="s">
        <v>250</v>
      </c>
      <c r="E47" s="19">
        <v>63495</v>
      </c>
      <c r="G47" s="36">
        <v>3112429</v>
      </c>
      <c r="H47" s="36"/>
      <c r="I47" s="36"/>
      <c r="J47" s="36"/>
      <c r="K47" s="36">
        <v>3377309</v>
      </c>
      <c r="L47" s="36"/>
      <c r="M47" s="36">
        <v>176554</v>
      </c>
      <c r="N47" s="36"/>
      <c r="O47" s="36">
        <v>1232434</v>
      </c>
      <c r="P47" s="36"/>
      <c r="Q47" s="36">
        <v>5873</v>
      </c>
      <c r="R47" s="36"/>
      <c r="S47" s="36">
        <v>0</v>
      </c>
      <c r="T47" s="36"/>
      <c r="U47" s="36">
        <v>30121</v>
      </c>
      <c r="V47" s="36"/>
      <c r="W47" s="36">
        <f>31342+11975+16245</f>
        <v>59562</v>
      </c>
      <c r="X47" s="36"/>
      <c r="Y47" s="39">
        <f t="shared" si="2"/>
        <v>7994282</v>
      </c>
      <c r="Z47" s="36"/>
      <c r="AA47" s="36">
        <v>179316</v>
      </c>
      <c r="AB47" s="36"/>
      <c r="AC47" s="36">
        <v>0</v>
      </c>
      <c r="AD47" s="2" t="s">
        <v>340</v>
      </c>
      <c r="AF47" s="19" t="s">
        <v>250</v>
      </c>
      <c r="AG47" s="36"/>
      <c r="AH47" s="19">
        <v>0</v>
      </c>
      <c r="AI47" s="36"/>
      <c r="AJ47" s="36"/>
      <c r="AK47" s="36"/>
      <c r="AL47" s="36">
        <v>0</v>
      </c>
      <c r="AM47" s="36"/>
      <c r="AN47" s="36">
        <v>2374</v>
      </c>
      <c r="AO47" s="36"/>
      <c r="AP47" s="36"/>
      <c r="AQ47" s="36"/>
      <c r="AR47" s="36">
        <v>0</v>
      </c>
      <c r="AS47" s="36"/>
      <c r="AT47" s="13">
        <v>0</v>
      </c>
      <c r="AU47" s="36"/>
      <c r="AV47" s="39">
        <f>SUM(AA47:AT47)</f>
        <v>181690</v>
      </c>
      <c r="AW47" s="36"/>
      <c r="AX47" s="39">
        <f t="shared" si="4"/>
        <v>8175972</v>
      </c>
      <c r="AZ47" s="95"/>
    </row>
    <row r="48" spans="1:52" s="19" customFormat="1" ht="12">
      <c r="A48" s="2" t="s">
        <v>341</v>
      </c>
      <c r="C48" s="19" t="s">
        <v>242</v>
      </c>
      <c r="E48" s="19">
        <v>51490</v>
      </c>
      <c r="G48" s="36">
        <v>2435111</v>
      </c>
      <c r="H48" s="36"/>
      <c r="I48" s="36"/>
      <c r="J48" s="36"/>
      <c r="K48" s="36">
        <v>7965177</v>
      </c>
      <c r="L48" s="36"/>
      <c r="M48" s="36">
        <v>289800</v>
      </c>
      <c r="N48" s="36"/>
      <c r="O48" s="36">
        <v>1568413</v>
      </c>
      <c r="P48" s="36"/>
      <c r="Q48" s="36">
        <v>3641</v>
      </c>
      <c r="R48" s="36"/>
      <c r="S48" s="36">
        <v>0</v>
      </c>
      <c r="T48" s="36"/>
      <c r="U48" s="36">
        <v>1553</v>
      </c>
      <c r="V48" s="36"/>
      <c r="W48" s="36">
        <f>143364+88406</f>
        <v>231770</v>
      </c>
      <c r="X48" s="36"/>
      <c r="Y48" s="39">
        <f t="shared" si="2"/>
        <v>12495465</v>
      </c>
      <c r="Z48" s="36"/>
      <c r="AA48" s="36">
        <v>665068</v>
      </c>
      <c r="AB48" s="36"/>
      <c r="AC48" s="36">
        <v>0</v>
      </c>
      <c r="AD48" s="2" t="s">
        <v>341</v>
      </c>
      <c r="AF48" s="19" t="s">
        <v>242</v>
      </c>
      <c r="AG48" s="36"/>
      <c r="AH48" s="36">
        <v>0</v>
      </c>
      <c r="AI48" s="36"/>
      <c r="AJ48" s="36"/>
      <c r="AK48" s="36"/>
      <c r="AL48" s="36">
        <v>0</v>
      </c>
      <c r="AM48" s="36"/>
      <c r="AN48" s="36">
        <v>6865</v>
      </c>
      <c r="AO48" s="36"/>
      <c r="AP48" s="36"/>
      <c r="AQ48" s="36"/>
      <c r="AR48" s="36">
        <v>0</v>
      </c>
      <c r="AS48" s="36"/>
      <c r="AT48" s="64">
        <v>0</v>
      </c>
      <c r="AU48" s="36"/>
      <c r="AV48" s="39">
        <f t="shared" si="3"/>
        <v>671933</v>
      </c>
      <c r="AW48" s="36"/>
      <c r="AX48" s="39">
        <f t="shared" si="4"/>
        <v>13167398</v>
      </c>
      <c r="AZ48" s="95"/>
    </row>
    <row r="49" spans="1:52" s="19" customFormat="1" ht="12">
      <c r="A49" s="13" t="s">
        <v>268</v>
      </c>
      <c r="C49" s="19" t="s">
        <v>164</v>
      </c>
      <c r="E49" s="19">
        <v>50799</v>
      </c>
      <c r="G49" s="36">
        <v>2292186</v>
      </c>
      <c r="H49" s="36"/>
      <c r="I49" s="36"/>
      <c r="J49" s="36"/>
      <c r="K49" s="36">
        <v>4094701</v>
      </c>
      <c r="L49" s="36"/>
      <c r="M49" s="36">
        <v>352596</v>
      </c>
      <c r="N49" s="36"/>
      <c r="O49" s="36">
        <v>144670</v>
      </c>
      <c r="P49" s="36"/>
      <c r="Q49" s="36">
        <v>0</v>
      </c>
      <c r="R49" s="36"/>
      <c r="S49" s="36">
        <v>0</v>
      </c>
      <c r="T49" s="36"/>
      <c r="U49" s="36">
        <v>23</v>
      </c>
      <c r="V49" s="36"/>
      <c r="W49" s="36">
        <f>2663+184432+550</f>
        <v>187645</v>
      </c>
      <c r="X49" s="36"/>
      <c r="Y49" s="39">
        <f t="shared" si="2"/>
        <v>7071821</v>
      </c>
      <c r="Z49" s="36"/>
      <c r="AA49" s="36">
        <v>296500</v>
      </c>
      <c r="AB49" s="36"/>
      <c r="AC49" s="36">
        <v>0</v>
      </c>
      <c r="AD49" s="13" t="s">
        <v>268</v>
      </c>
      <c r="AF49" s="19" t="s">
        <v>164</v>
      </c>
      <c r="AG49" s="36"/>
      <c r="AH49" s="36">
        <v>0</v>
      </c>
      <c r="AI49" s="36"/>
      <c r="AJ49" s="36"/>
      <c r="AK49" s="36"/>
      <c r="AL49" s="36">
        <v>0</v>
      </c>
      <c r="AM49" s="36"/>
      <c r="AN49" s="36">
        <v>12354</v>
      </c>
      <c r="AO49" s="36"/>
      <c r="AP49" s="36"/>
      <c r="AQ49" s="36"/>
      <c r="AR49" s="36">
        <v>0</v>
      </c>
      <c r="AS49" s="36"/>
      <c r="AT49" s="36">
        <v>0</v>
      </c>
      <c r="AU49" s="36"/>
      <c r="AV49" s="39">
        <f t="shared" si="3"/>
        <v>308854</v>
      </c>
      <c r="AW49" s="36"/>
      <c r="AX49" s="39">
        <f t="shared" si="4"/>
        <v>7380675</v>
      </c>
    </row>
    <row r="50" spans="1:52" s="19" customFormat="1" ht="12">
      <c r="A50" s="13" t="s">
        <v>387</v>
      </c>
      <c r="C50" s="19" t="s">
        <v>169</v>
      </c>
      <c r="E50" s="19">
        <v>51532</v>
      </c>
      <c r="G50" s="36">
        <v>5065289</v>
      </c>
      <c r="H50" s="36"/>
      <c r="I50" s="36"/>
      <c r="J50" s="36"/>
      <c r="K50" s="36">
        <v>7148538</v>
      </c>
      <c r="L50" s="36"/>
      <c r="M50" s="36">
        <v>89334</v>
      </c>
      <c r="N50" s="36"/>
      <c r="O50" s="36">
        <v>50789</v>
      </c>
      <c r="P50" s="36"/>
      <c r="Q50" s="36">
        <v>0</v>
      </c>
      <c r="R50" s="36"/>
      <c r="S50" s="36">
        <v>0</v>
      </c>
      <c r="T50" s="36"/>
      <c r="U50" s="36">
        <v>4044</v>
      </c>
      <c r="V50" s="36"/>
      <c r="W50" s="36">
        <f>40773+2215+176781</f>
        <v>219769</v>
      </c>
      <c r="X50" s="36"/>
      <c r="Y50" s="39">
        <f t="shared" si="2"/>
        <v>12577763</v>
      </c>
      <c r="Z50" s="36"/>
      <c r="AA50" s="36">
        <v>163000</v>
      </c>
      <c r="AB50" s="36"/>
      <c r="AC50" s="36">
        <v>0</v>
      </c>
      <c r="AD50" s="13" t="s">
        <v>269</v>
      </c>
      <c r="AF50" s="19" t="s">
        <v>169</v>
      </c>
      <c r="AG50" s="36"/>
      <c r="AH50" s="36">
        <v>0</v>
      </c>
      <c r="AI50" s="36"/>
      <c r="AJ50" s="36"/>
      <c r="AK50" s="36"/>
      <c r="AL50" s="36">
        <v>161095</v>
      </c>
      <c r="AM50" s="36"/>
      <c r="AN50" s="36">
        <v>103615</v>
      </c>
      <c r="AO50" s="36"/>
      <c r="AP50" s="36"/>
      <c r="AQ50" s="36"/>
      <c r="AR50" s="36">
        <v>0</v>
      </c>
      <c r="AS50" s="36"/>
      <c r="AT50" s="64">
        <v>0</v>
      </c>
      <c r="AU50" s="36"/>
      <c r="AV50" s="39">
        <f t="shared" si="3"/>
        <v>427710</v>
      </c>
      <c r="AW50" s="36"/>
      <c r="AX50" s="39">
        <f t="shared" si="4"/>
        <v>13005473</v>
      </c>
    </row>
    <row r="51" spans="1:52" s="19" customFormat="1" ht="12">
      <c r="A51" s="13" t="s">
        <v>289</v>
      </c>
      <c r="C51" s="19" t="s">
        <v>248</v>
      </c>
      <c r="E51" s="19">
        <v>62026</v>
      </c>
      <c r="G51" s="36">
        <v>2314249</v>
      </c>
      <c r="H51" s="36"/>
      <c r="I51" s="36"/>
      <c r="J51" s="36"/>
      <c r="K51" s="36">
        <f>3898+4538318+255010</f>
        <v>4797226</v>
      </c>
      <c r="L51" s="36"/>
      <c r="M51" s="36">
        <v>381160</v>
      </c>
      <c r="N51" s="36"/>
      <c r="O51" s="36">
        <v>63755</v>
      </c>
      <c r="P51" s="36"/>
      <c r="Q51" s="36">
        <v>0</v>
      </c>
      <c r="R51" s="36"/>
      <c r="S51" s="36">
        <v>0</v>
      </c>
      <c r="T51" s="36"/>
      <c r="U51" s="36">
        <v>0</v>
      </c>
      <c r="V51" s="36"/>
      <c r="W51" s="36">
        <f>136872+208700</f>
        <v>345572</v>
      </c>
      <c r="X51" s="36"/>
      <c r="Y51" s="39">
        <f t="shared" si="2"/>
        <v>7901962</v>
      </c>
      <c r="Z51" s="36"/>
      <c r="AA51" s="36">
        <v>0</v>
      </c>
      <c r="AB51" s="36"/>
      <c r="AC51" s="36">
        <v>0</v>
      </c>
      <c r="AD51" s="13" t="s">
        <v>289</v>
      </c>
      <c r="AF51" s="19" t="s">
        <v>248</v>
      </c>
      <c r="AG51" s="36"/>
      <c r="AH51" s="36">
        <v>0</v>
      </c>
      <c r="AI51" s="36"/>
      <c r="AJ51" s="36"/>
      <c r="AK51" s="36"/>
      <c r="AL51" s="36">
        <v>0</v>
      </c>
      <c r="AM51" s="36"/>
      <c r="AN51" s="36">
        <v>22994</v>
      </c>
      <c r="AO51" s="36"/>
      <c r="AP51" s="36"/>
      <c r="AQ51" s="36"/>
      <c r="AR51" s="36">
        <v>0</v>
      </c>
      <c r="AS51" s="36"/>
      <c r="AT51" s="13">
        <v>0</v>
      </c>
      <c r="AU51" s="36"/>
      <c r="AV51" s="39">
        <f t="shared" si="3"/>
        <v>22994</v>
      </c>
      <c r="AW51" s="36"/>
      <c r="AX51" s="39">
        <f t="shared" si="4"/>
        <v>7924956</v>
      </c>
    </row>
    <row r="52" spans="1:52" s="19" customFormat="1" ht="12">
      <c r="A52" s="13" t="s">
        <v>398</v>
      </c>
      <c r="C52" s="19" t="s">
        <v>282</v>
      </c>
      <c r="G52" s="36">
        <v>7930060</v>
      </c>
      <c r="H52" s="36"/>
      <c r="I52" s="36"/>
      <c r="J52" s="36"/>
      <c r="K52" s="36">
        <v>3871268</v>
      </c>
      <c r="L52" s="36"/>
      <c r="M52" s="36">
        <v>239311</v>
      </c>
      <c r="N52" s="36"/>
      <c r="O52" s="36">
        <v>405208</v>
      </c>
      <c r="P52" s="36"/>
      <c r="Q52" s="36">
        <v>0</v>
      </c>
      <c r="R52" s="36"/>
      <c r="S52" s="36">
        <v>0</v>
      </c>
      <c r="T52" s="36"/>
      <c r="U52" s="36">
        <v>0</v>
      </c>
      <c r="V52" s="36"/>
      <c r="W52" s="36">
        <f>195353+222133</f>
        <v>417486</v>
      </c>
      <c r="X52" s="36"/>
      <c r="Y52" s="39">
        <f t="shared" si="2"/>
        <v>12863333</v>
      </c>
      <c r="Z52" s="36"/>
      <c r="AA52" s="36">
        <v>1555271</v>
      </c>
      <c r="AB52" s="36"/>
      <c r="AC52" s="36">
        <v>0</v>
      </c>
      <c r="AD52" s="13" t="s">
        <v>398</v>
      </c>
      <c r="AF52" s="19" t="s">
        <v>282</v>
      </c>
      <c r="AG52" s="36"/>
      <c r="AH52" s="36">
        <v>0</v>
      </c>
      <c r="AI52" s="36"/>
      <c r="AJ52" s="36"/>
      <c r="AK52" s="36"/>
      <c r="AL52" s="36">
        <v>0</v>
      </c>
      <c r="AM52" s="36"/>
      <c r="AN52" s="36">
        <v>53080</v>
      </c>
      <c r="AO52" s="36"/>
      <c r="AP52" s="36"/>
      <c r="AQ52" s="36"/>
      <c r="AR52" s="36">
        <v>0</v>
      </c>
      <c r="AS52" s="36"/>
      <c r="AT52" s="64">
        <v>0</v>
      </c>
      <c r="AU52" s="36"/>
      <c r="AV52" s="39">
        <f t="shared" si="3"/>
        <v>1608351</v>
      </c>
      <c r="AW52" s="36"/>
      <c r="AX52" s="39">
        <f t="shared" si="4"/>
        <v>14471684</v>
      </c>
      <c r="AZ52" s="3" t="s">
        <v>402</v>
      </c>
    </row>
    <row r="53" spans="1:52" s="19" customFormat="1" ht="12">
      <c r="A53" s="13" t="s">
        <v>423</v>
      </c>
      <c r="C53" s="19" t="s">
        <v>157</v>
      </c>
      <c r="E53" s="19">
        <v>51607</v>
      </c>
      <c r="G53" s="36">
        <v>3083441</v>
      </c>
      <c r="H53" s="36"/>
      <c r="I53" s="36"/>
      <c r="J53" s="36"/>
      <c r="K53" s="36">
        <v>4721551</v>
      </c>
      <c r="L53" s="36"/>
      <c r="M53" s="36">
        <v>148218</v>
      </c>
      <c r="N53" s="36"/>
      <c r="O53" s="36">
        <v>0</v>
      </c>
      <c r="P53" s="36"/>
      <c r="Q53" s="36">
        <v>0</v>
      </c>
      <c r="R53" s="36"/>
      <c r="S53" s="36">
        <v>0</v>
      </c>
      <c r="T53" s="36"/>
      <c r="U53" s="36">
        <v>0</v>
      </c>
      <c r="V53" s="36"/>
      <c r="W53" s="36">
        <f>36032+467099</f>
        <v>503131</v>
      </c>
      <c r="X53" s="36"/>
      <c r="Y53" s="39">
        <f t="shared" si="2"/>
        <v>8456341</v>
      </c>
      <c r="Z53" s="36"/>
      <c r="AA53" s="36">
        <v>1017364</v>
      </c>
      <c r="AB53" s="36"/>
      <c r="AC53" s="36">
        <v>0</v>
      </c>
      <c r="AD53" s="13" t="s">
        <v>423</v>
      </c>
      <c r="AF53" s="19" t="s">
        <v>157</v>
      </c>
      <c r="AG53" s="36"/>
      <c r="AH53" s="36">
        <v>0</v>
      </c>
      <c r="AI53" s="36"/>
      <c r="AJ53" s="36"/>
      <c r="AK53" s="36"/>
      <c r="AL53" s="36">
        <v>0</v>
      </c>
      <c r="AM53" s="36"/>
      <c r="AN53" s="36">
        <v>0</v>
      </c>
      <c r="AO53" s="36"/>
      <c r="AP53" s="36"/>
      <c r="AQ53" s="36"/>
      <c r="AR53" s="36">
        <v>0</v>
      </c>
      <c r="AS53" s="36"/>
      <c r="AT53" s="36">
        <v>0</v>
      </c>
      <c r="AU53" s="36"/>
      <c r="AV53" s="39">
        <f t="shared" si="3"/>
        <v>1017364</v>
      </c>
      <c r="AW53" s="36"/>
      <c r="AX53" s="39">
        <f t="shared" si="4"/>
        <v>9473705</v>
      </c>
    </row>
    <row r="54" spans="1:52" s="19" customFormat="1" ht="12">
      <c r="A54" s="13" t="s">
        <v>284</v>
      </c>
      <c r="C54" s="19" t="s">
        <v>285</v>
      </c>
      <c r="E54" s="19">
        <v>65268</v>
      </c>
      <c r="G54" s="36">
        <v>3670084</v>
      </c>
      <c r="H54" s="36"/>
      <c r="I54" s="36"/>
      <c r="J54" s="36"/>
      <c r="K54" s="36">
        <v>7310500</v>
      </c>
      <c r="L54" s="36"/>
      <c r="M54" s="36">
        <v>31525</v>
      </c>
      <c r="N54" s="36"/>
      <c r="O54" s="36">
        <v>24503</v>
      </c>
      <c r="P54" s="36"/>
      <c r="Q54" s="36">
        <v>615</v>
      </c>
      <c r="R54" s="36"/>
      <c r="S54" s="36">
        <v>24308</v>
      </c>
      <c r="T54" s="36"/>
      <c r="U54" s="36">
        <v>11220</v>
      </c>
      <c r="V54" s="36"/>
      <c r="W54" s="36">
        <f>92201+7170</f>
        <v>99371</v>
      </c>
      <c r="X54" s="36"/>
      <c r="Y54" s="39">
        <f t="shared" si="2"/>
        <v>11172126</v>
      </c>
      <c r="Z54" s="36"/>
      <c r="AA54" s="36">
        <v>71639</v>
      </c>
      <c r="AB54" s="36"/>
      <c r="AC54" s="36">
        <v>0</v>
      </c>
      <c r="AD54" s="13" t="s">
        <v>284</v>
      </c>
      <c r="AF54" s="19" t="s">
        <v>285</v>
      </c>
      <c r="AG54" s="36"/>
      <c r="AH54" s="36">
        <v>0</v>
      </c>
      <c r="AI54" s="36"/>
      <c r="AJ54" s="36"/>
      <c r="AK54" s="36"/>
      <c r="AL54" s="36">
        <v>0</v>
      </c>
      <c r="AM54" s="36"/>
      <c r="AN54" s="36">
        <v>0</v>
      </c>
      <c r="AO54" s="36"/>
      <c r="AP54" s="36"/>
      <c r="AQ54" s="36"/>
      <c r="AR54" s="36">
        <v>0</v>
      </c>
      <c r="AS54" s="36"/>
      <c r="AT54" s="64">
        <v>0</v>
      </c>
      <c r="AU54" s="36"/>
      <c r="AV54" s="39">
        <f t="shared" si="3"/>
        <v>71639</v>
      </c>
      <c r="AW54" s="36"/>
      <c r="AX54" s="39">
        <f t="shared" si="4"/>
        <v>11243765</v>
      </c>
    </row>
    <row r="55" spans="1:52" s="19" customFormat="1" ht="12">
      <c r="A55" s="13" t="s">
        <v>342</v>
      </c>
      <c r="C55" s="19" t="s">
        <v>252</v>
      </c>
      <c r="E55" s="19">
        <v>51631</v>
      </c>
      <c r="G55" s="36">
        <v>5185679</v>
      </c>
      <c r="H55" s="36"/>
      <c r="I55" s="36"/>
      <c r="J55" s="36"/>
      <c r="K55" s="36">
        <f>7467380+1226146</f>
        <v>8693526</v>
      </c>
      <c r="L55" s="36"/>
      <c r="M55" s="36">
        <v>401661</v>
      </c>
      <c r="N55" s="36"/>
      <c r="O55" s="36">
        <v>0</v>
      </c>
      <c r="P55" s="36"/>
      <c r="Q55" s="36">
        <v>17214</v>
      </c>
      <c r="R55" s="36"/>
      <c r="S55" s="36">
        <v>0</v>
      </c>
      <c r="T55" s="36"/>
      <c r="U55" s="36">
        <v>779</v>
      </c>
      <c r="V55" s="36"/>
      <c r="W55" s="36">
        <f>61812+140227+197833+134834+207378</f>
        <v>742084</v>
      </c>
      <c r="X55" s="36"/>
      <c r="Y55" s="39">
        <f t="shared" si="2"/>
        <v>15040943</v>
      </c>
      <c r="Z55" s="36"/>
      <c r="AA55" s="36">
        <v>487000</v>
      </c>
      <c r="AB55" s="36"/>
      <c r="AC55" s="36">
        <v>0</v>
      </c>
      <c r="AD55" s="13" t="s">
        <v>342</v>
      </c>
      <c r="AF55" s="19" t="s">
        <v>252</v>
      </c>
      <c r="AG55" s="36"/>
      <c r="AH55" s="36">
        <v>0</v>
      </c>
      <c r="AI55" s="36"/>
      <c r="AJ55" s="36"/>
      <c r="AK55" s="36"/>
      <c r="AL55" s="36">
        <v>0</v>
      </c>
      <c r="AM55" s="36"/>
      <c r="AN55" s="36">
        <v>470</v>
      </c>
      <c r="AO55" s="36"/>
      <c r="AP55" s="36"/>
      <c r="AQ55" s="36"/>
      <c r="AR55" s="36">
        <v>0</v>
      </c>
      <c r="AS55" s="36"/>
      <c r="AT55" s="13">
        <v>0</v>
      </c>
      <c r="AU55" s="36"/>
      <c r="AV55" s="39">
        <f t="shared" si="3"/>
        <v>487470</v>
      </c>
      <c r="AW55" s="36"/>
      <c r="AX55" s="39">
        <f t="shared" si="4"/>
        <v>15528413</v>
      </c>
    </row>
    <row r="56" spans="1:52" s="19" customFormat="1" ht="12">
      <c r="A56" s="13" t="s">
        <v>270</v>
      </c>
      <c r="C56" s="19" t="s">
        <v>171</v>
      </c>
      <c r="E56" s="19">
        <v>62802</v>
      </c>
      <c r="G56" s="36">
        <v>3155474</v>
      </c>
      <c r="H56" s="36"/>
      <c r="I56" s="36"/>
      <c r="J56" s="36"/>
      <c r="K56" s="36">
        <v>4091712</v>
      </c>
      <c r="L56" s="36"/>
      <c r="M56" s="36">
        <v>234839</v>
      </c>
      <c r="N56" s="36"/>
      <c r="O56" s="36">
        <v>191286</v>
      </c>
      <c r="P56" s="36"/>
      <c r="Q56" s="36">
        <v>0</v>
      </c>
      <c r="R56" s="36"/>
      <c r="S56" s="36">
        <v>0</v>
      </c>
      <c r="T56" s="36"/>
      <c r="U56" s="36">
        <v>0</v>
      </c>
      <c r="V56" s="36"/>
      <c r="W56" s="36">
        <f>187520+42707</f>
        <v>230227</v>
      </c>
      <c r="X56" s="36"/>
      <c r="Y56" s="39">
        <f t="shared" si="2"/>
        <v>7903538</v>
      </c>
      <c r="Z56" s="36"/>
      <c r="AA56" s="36">
        <v>290000</v>
      </c>
      <c r="AB56" s="36"/>
      <c r="AC56" s="36">
        <v>0</v>
      </c>
      <c r="AD56" s="13" t="s">
        <v>270</v>
      </c>
      <c r="AF56" s="19" t="s">
        <v>171</v>
      </c>
      <c r="AG56" s="36"/>
      <c r="AH56" s="36">
        <v>0</v>
      </c>
      <c r="AI56" s="36"/>
      <c r="AJ56" s="36"/>
      <c r="AK56" s="36"/>
      <c r="AL56" s="36">
        <v>0</v>
      </c>
      <c r="AM56" s="36"/>
      <c r="AN56" s="36">
        <v>2850</v>
      </c>
      <c r="AO56" s="36"/>
      <c r="AP56" s="36"/>
      <c r="AQ56" s="36"/>
      <c r="AR56" s="36">
        <v>0</v>
      </c>
      <c r="AS56" s="36"/>
      <c r="AT56" s="64">
        <v>0</v>
      </c>
      <c r="AU56" s="36"/>
      <c r="AV56" s="39">
        <f t="shared" si="3"/>
        <v>292850</v>
      </c>
      <c r="AW56" s="36"/>
      <c r="AX56" s="39">
        <f t="shared" si="4"/>
        <v>8196388</v>
      </c>
    </row>
    <row r="57" spans="1:52" s="19" customFormat="1" ht="12">
      <c r="A57" s="13" t="s">
        <v>287</v>
      </c>
      <c r="C57" s="19" t="s">
        <v>220</v>
      </c>
      <c r="E57" s="19">
        <v>62125</v>
      </c>
      <c r="G57" s="36">
        <v>6520077</v>
      </c>
      <c r="H57" s="36"/>
      <c r="I57" s="36"/>
      <c r="J57" s="36"/>
      <c r="K57" s="36">
        <v>13359942</v>
      </c>
      <c r="L57" s="36"/>
      <c r="M57" s="36">
        <v>286697</v>
      </c>
      <c r="N57" s="36"/>
      <c r="O57" s="36">
        <v>1549094</v>
      </c>
      <c r="P57" s="36"/>
      <c r="Q57" s="36">
        <v>0</v>
      </c>
      <c r="R57" s="36"/>
      <c r="S57" s="36">
        <v>0</v>
      </c>
      <c r="T57" s="36"/>
      <c r="U57" s="36">
        <v>54941</v>
      </c>
      <c r="V57" s="36"/>
      <c r="W57" s="36">
        <f>51486+1793+364679</f>
        <v>417958</v>
      </c>
      <c r="X57" s="36"/>
      <c r="Y57" s="39">
        <f t="shared" si="2"/>
        <v>22188709</v>
      </c>
      <c r="Z57" s="36"/>
      <c r="AA57" s="36">
        <v>1429125</v>
      </c>
      <c r="AB57" s="36"/>
      <c r="AC57" s="36">
        <v>0</v>
      </c>
      <c r="AD57" s="13" t="s">
        <v>287</v>
      </c>
      <c r="AF57" s="19" t="s">
        <v>220</v>
      </c>
      <c r="AG57" s="36"/>
      <c r="AH57" s="36">
        <v>0</v>
      </c>
      <c r="AI57" s="36"/>
      <c r="AJ57" s="36"/>
      <c r="AK57" s="36"/>
      <c r="AL57" s="36">
        <v>0</v>
      </c>
      <c r="AM57" s="36"/>
      <c r="AN57" s="36">
        <v>0</v>
      </c>
      <c r="AO57" s="36"/>
      <c r="AP57" s="36"/>
      <c r="AQ57" s="36"/>
      <c r="AR57" s="36">
        <v>0</v>
      </c>
      <c r="AS57" s="36"/>
      <c r="AT57" s="36">
        <v>0</v>
      </c>
      <c r="AU57" s="36"/>
      <c r="AV57" s="39">
        <f t="shared" si="3"/>
        <v>1429125</v>
      </c>
      <c r="AW57" s="36"/>
      <c r="AX57" s="39">
        <f t="shared" si="4"/>
        <v>23617834</v>
      </c>
    </row>
    <row r="58" spans="1:52" s="19" customFormat="1" ht="12">
      <c r="A58" s="13" t="s">
        <v>343</v>
      </c>
      <c r="C58" s="19" t="s">
        <v>240</v>
      </c>
      <c r="E58" s="19">
        <v>51458</v>
      </c>
      <c r="G58" s="36">
        <v>4009836</v>
      </c>
      <c r="H58" s="36"/>
      <c r="I58" s="36"/>
      <c r="J58" s="36"/>
      <c r="K58" s="36">
        <v>10047014</v>
      </c>
      <c r="L58" s="36"/>
      <c r="M58" s="36">
        <v>507584</v>
      </c>
      <c r="N58" s="36"/>
      <c r="O58" s="36">
        <v>466744</v>
      </c>
      <c r="P58" s="36"/>
      <c r="Q58" s="36">
        <v>0</v>
      </c>
      <c r="R58" s="36"/>
      <c r="S58" s="36">
        <v>0</v>
      </c>
      <c r="T58" s="36"/>
      <c r="U58" s="36">
        <v>8023</v>
      </c>
      <c r="V58" s="36"/>
      <c r="W58" s="36">
        <f>305867+179866+103176</f>
        <v>588909</v>
      </c>
      <c r="X58" s="36"/>
      <c r="Y58" s="39">
        <f t="shared" si="2"/>
        <v>15628110</v>
      </c>
      <c r="Z58" s="36"/>
      <c r="AA58" s="36">
        <v>1601439</v>
      </c>
      <c r="AB58" s="36"/>
      <c r="AC58" s="36">
        <v>0</v>
      </c>
      <c r="AD58" s="13" t="s">
        <v>343</v>
      </c>
      <c r="AF58" s="19" t="s">
        <v>240</v>
      </c>
      <c r="AG58" s="36"/>
      <c r="AH58" s="36">
        <v>0</v>
      </c>
      <c r="AI58" s="36"/>
      <c r="AJ58" s="36"/>
      <c r="AK58" s="36"/>
      <c r="AL58" s="36">
        <v>0</v>
      </c>
      <c r="AM58" s="36"/>
      <c r="AN58" s="36">
        <v>0</v>
      </c>
      <c r="AO58" s="36"/>
      <c r="AP58" s="36"/>
      <c r="AQ58" s="36"/>
      <c r="AR58" s="36">
        <v>0</v>
      </c>
      <c r="AS58" s="36"/>
      <c r="AT58" s="64">
        <v>0</v>
      </c>
      <c r="AU58" s="36"/>
      <c r="AV58" s="39">
        <f t="shared" si="3"/>
        <v>1601439</v>
      </c>
      <c r="AW58" s="36"/>
      <c r="AX58" s="39">
        <f t="shared" si="4"/>
        <v>17229549</v>
      </c>
    </row>
    <row r="59" spans="1:52" s="19" customFormat="1" ht="12">
      <c r="A59" s="13" t="s">
        <v>344</v>
      </c>
      <c r="C59" s="19" t="s">
        <v>256</v>
      </c>
      <c r="E59" s="19">
        <v>51672</v>
      </c>
      <c r="G59" s="36">
        <v>2825602</v>
      </c>
      <c r="H59" s="36"/>
      <c r="I59" s="36"/>
      <c r="J59" s="36"/>
      <c r="K59" s="36">
        <f>30552+4553764+451481</f>
        <v>5035797</v>
      </c>
      <c r="L59" s="36"/>
      <c r="M59" s="36">
        <v>206303</v>
      </c>
      <c r="N59" s="36"/>
      <c r="O59" s="36">
        <v>1076797</v>
      </c>
      <c r="P59" s="36"/>
      <c r="Q59" s="36">
        <v>3215</v>
      </c>
      <c r="R59" s="36"/>
      <c r="S59" s="36">
        <v>0</v>
      </c>
      <c r="T59" s="36"/>
      <c r="U59" s="36">
        <v>0</v>
      </c>
      <c r="V59" s="36"/>
      <c r="W59" s="36">
        <f>112232+55889</f>
        <v>168121</v>
      </c>
      <c r="X59" s="36"/>
      <c r="Y59" s="39">
        <f t="shared" si="2"/>
        <v>9315835</v>
      </c>
      <c r="Z59" s="36"/>
      <c r="AA59" s="36">
        <v>535000</v>
      </c>
      <c r="AB59" s="36"/>
      <c r="AC59" s="36">
        <v>0</v>
      </c>
      <c r="AD59" s="13" t="s">
        <v>344</v>
      </c>
      <c r="AF59" s="19" t="s">
        <v>256</v>
      </c>
      <c r="AG59" s="36"/>
      <c r="AH59" s="36">
        <v>0</v>
      </c>
      <c r="AI59" s="36"/>
      <c r="AJ59" s="36"/>
      <c r="AK59" s="36"/>
      <c r="AL59" s="36">
        <v>6000</v>
      </c>
      <c r="AM59" s="36"/>
      <c r="AN59" s="36">
        <v>0</v>
      </c>
      <c r="AO59" s="36"/>
      <c r="AP59" s="36"/>
      <c r="AQ59" s="36"/>
      <c r="AR59" s="36">
        <v>0</v>
      </c>
      <c r="AS59" s="36"/>
      <c r="AT59" s="13">
        <v>0</v>
      </c>
      <c r="AU59" s="36"/>
      <c r="AV59" s="39">
        <f t="shared" si="3"/>
        <v>541000</v>
      </c>
      <c r="AW59" s="36"/>
      <c r="AX59" s="39">
        <f t="shared" si="4"/>
        <v>9856835</v>
      </c>
    </row>
    <row r="60" spans="1:52" s="19" customFormat="1" ht="12">
      <c r="A60" s="13" t="s">
        <v>291</v>
      </c>
      <c r="C60" s="19" t="s">
        <v>258</v>
      </c>
      <c r="E60" s="19">
        <v>51474</v>
      </c>
      <c r="G60" s="36">
        <v>7839378</v>
      </c>
      <c r="H60" s="36"/>
      <c r="I60" s="36"/>
      <c r="J60" s="36"/>
      <c r="K60" s="36">
        <v>7111518</v>
      </c>
      <c r="L60" s="36"/>
      <c r="M60" s="36">
        <v>391970</v>
      </c>
      <c r="N60" s="36"/>
      <c r="O60" s="36">
        <v>1940731</v>
      </c>
      <c r="P60" s="36"/>
      <c r="Q60" s="36">
        <v>0</v>
      </c>
      <c r="R60" s="36"/>
      <c r="S60" s="36">
        <v>219464</v>
      </c>
      <c r="T60" s="36"/>
      <c r="U60" s="36">
        <v>7121</v>
      </c>
      <c r="V60" s="36"/>
      <c r="W60" s="36">
        <f>9040+22928+171200</f>
        <v>203168</v>
      </c>
      <c r="X60" s="36"/>
      <c r="Y60" s="39">
        <f t="shared" si="2"/>
        <v>17713350</v>
      </c>
      <c r="Z60" s="36"/>
      <c r="AA60" s="2">
        <v>768021</v>
      </c>
      <c r="AB60" s="36"/>
      <c r="AC60" s="36">
        <v>0</v>
      </c>
      <c r="AD60" s="13" t="s">
        <v>291</v>
      </c>
      <c r="AF60" s="19" t="s">
        <v>258</v>
      </c>
      <c r="AG60" s="36"/>
      <c r="AH60" s="36">
        <v>7000000</v>
      </c>
      <c r="AI60" s="36"/>
      <c r="AJ60" s="36"/>
      <c r="AK60" s="36"/>
      <c r="AL60" s="36">
        <v>58182</v>
      </c>
      <c r="AM60" s="36"/>
      <c r="AN60" s="36">
        <v>3851</v>
      </c>
      <c r="AO60" s="36"/>
      <c r="AP60" s="36"/>
      <c r="AQ60" s="36"/>
      <c r="AR60" s="36">
        <v>0</v>
      </c>
      <c r="AS60" s="36"/>
      <c r="AT60" s="64">
        <v>0</v>
      </c>
      <c r="AU60" s="36"/>
      <c r="AV60" s="39">
        <f t="shared" si="3"/>
        <v>7830054</v>
      </c>
      <c r="AW60" s="36"/>
      <c r="AX60" s="39">
        <f t="shared" si="4"/>
        <v>25543404</v>
      </c>
    </row>
    <row r="61" spans="1:52" s="19" customFormat="1" ht="12">
      <c r="A61" s="13" t="s">
        <v>372</v>
      </c>
      <c r="C61" s="19" t="s">
        <v>260</v>
      </c>
      <c r="E61" s="19">
        <v>51698</v>
      </c>
      <c r="G61" s="36">
        <v>1984728</v>
      </c>
      <c r="H61" s="36"/>
      <c r="I61" s="36"/>
      <c r="J61" s="36"/>
      <c r="K61" s="36">
        <v>4249372</v>
      </c>
      <c r="L61" s="36"/>
      <c r="M61" s="36">
        <v>143581</v>
      </c>
      <c r="N61" s="36"/>
      <c r="O61" s="36">
        <v>28623</v>
      </c>
      <c r="P61" s="36"/>
      <c r="Q61" s="36">
        <v>0</v>
      </c>
      <c r="R61" s="36"/>
      <c r="S61" s="36">
        <v>43669</v>
      </c>
      <c r="T61" s="36"/>
      <c r="U61" s="36">
        <v>0</v>
      </c>
      <c r="V61" s="36"/>
      <c r="W61" s="36">
        <f>55207+105574</f>
        <v>160781</v>
      </c>
      <c r="X61" s="36"/>
      <c r="Y61" s="39">
        <f t="shared" si="2"/>
        <v>6610754</v>
      </c>
      <c r="Z61" s="36"/>
      <c r="AA61" s="36">
        <v>9164</v>
      </c>
      <c r="AB61" s="36"/>
      <c r="AC61" s="36">
        <v>0</v>
      </c>
      <c r="AD61" s="13" t="s">
        <v>372</v>
      </c>
      <c r="AF61" s="19" t="s">
        <v>260</v>
      </c>
      <c r="AG61" s="36"/>
      <c r="AH61" s="36">
        <v>0</v>
      </c>
      <c r="AI61" s="36"/>
      <c r="AJ61" s="36"/>
      <c r="AK61" s="36"/>
      <c r="AL61" s="36">
        <v>0</v>
      </c>
      <c r="AM61" s="36"/>
      <c r="AN61" s="36">
        <v>6348</v>
      </c>
      <c r="AO61" s="36"/>
      <c r="AP61" s="36"/>
      <c r="AQ61" s="36"/>
      <c r="AR61" s="36">
        <v>0</v>
      </c>
      <c r="AS61" s="36"/>
      <c r="AT61" s="36">
        <v>0</v>
      </c>
      <c r="AU61" s="36"/>
      <c r="AV61" s="39">
        <f t="shared" si="3"/>
        <v>15512</v>
      </c>
      <c r="AW61" s="36"/>
      <c r="AX61" s="39">
        <f t="shared" si="4"/>
        <v>6626266</v>
      </c>
    </row>
    <row r="62" spans="1:52" s="19" customFormat="1" ht="12">
      <c r="A62" s="13" t="s">
        <v>345</v>
      </c>
      <c r="C62" s="19" t="s">
        <v>262</v>
      </c>
      <c r="E62" s="19">
        <v>51714</v>
      </c>
      <c r="G62" s="36">
        <v>5412094</v>
      </c>
      <c r="H62" s="36"/>
      <c r="I62" s="36"/>
      <c r="J62" s="36"/>
      <c r="K62" s="36">
        <v>11727252</v>
      </c>
      <c r="L62" s="36"/>
      <c r="M62" s="36">
        <v>127746</v>
      </c>
      <c r="N62" s="36"/>
      <c r="O62" s="36">
        <v>1188637</v>
      </c>
      <c r="P62" s="36"/>
      <c r="Q62" s="36">
        <v>0</v>
      </c>
      <c r="R62" s="36"/>
      <c r="S62" s="36">
        <v>0</v>
      </c>
      <c r="T62" s="36"/>
      <c r="U62" s="36">
        <v>7752</v>
      </c>
      <c r="V62" s="36"/>
      <c r="W62" s="36">
        <f>606217+2864</f>
        <v>609081</v>
      </c>
      <c r="X62" s="36"/>
      <c r="Y62" s="39">
        <f t="shared" si="2"/>
        <v>19072562</v>
      </c>
      <c r="Z62" s="36"/>
      <c r="AA62" s="36">
        <v>2217120</v>
      </c>
      <c r="AB62" s="36"/>
      <c r="AC62" s="36">
        <v>0</v>
      </c>
      <c r="AD62" s="13" t="s">
        <v>345</v>
      </c>
      <c r="AF62" s="19" t="s">
        <v>262</v>
      </c>
      <c r="AG62" s="36"/>
      <c r="AH62" s="36">
        <v>9120000</v>
      </c>
      <c r="AI62" s="36"/>
      <c r="AJ62" s="36"/>
      <c r="AK62" s="36"/>
      <c r="AL62" s="36">
        <v>0</v>
      </c>
      <c r="AM62" s="36"/>
      <c r="AN62" s="36">
        <v>0</v>
      </c>
      <c r="AO62" s="36"/>
      <c r="AP62" s="36"/>
      <c r="AQ62" s="36"/>
      <c r="AR62" s="36">
        <f>489570-184316</f>
        <v>305254</v>
      </c>
      <c r="AS62" s="36"/>
      <c r="AT62" s="64">
        <v>0</v>
      </c>
      <c r="AU62" s="36"/>
      <c r="AV62" s="39">
        <f>SUM(AA62:AT62)</f>
        <v>11642374</v>
      </c>
      <c r="AW62" s="36"/>
      <c r="AX62" s="39">
        <f t="shared" si="4"/>
        <v>30714936</v>
      </c>
    </row>
    <row r="63" spans="1:52" s="19" customFormat="1" ht="12">
      <c r="A63" s="13"/>
      <c r="C63" s="13"/>
      <c r="AD63" s="13"/>
      <c r="AF63" s="13"/>
      <c r="AV63" s="39"/>
    </row>
    <row r="64" spans="1:52" s="19" customFormat="1" ht="12">
      <c r="A64" s="13"/>
      <c r="C64" s="13"/>
      <c r="AD64" s="13"/>
      <c r="AF64" s="13"/>
      <c r="AV64" s="39"/>
    </row>
    <row r="65" spans="1:62" s="19" customFormat="1" ht="12">
      <c r="A65" s="121"/>
      <c r="B65" s="121"/>
      <c r="C65" s="121"/>
      <c r="D65" s="121"/>
      <c r="E65" s="121"/>
      <c r="F65" s="121"/>
      <c r="G65" s="121"/>
      <c r="H65" s="121"/>
      <c r="I65" s="121"/>
      <c r="AC65" s="57" t="s">
        <v>348</v>
      </c>
      <c r="AN65" s="57"/>
      <c r="AV65" s="39"/>
      <c r="AX65" s="57" t="s">
        <v>348</v>
      </c>
    </row>
    <row r="66" spans="1:62" s="19" customFormat="1" ht="12">
      <c r="A66" s="56" t="s">
        <v>347</v>
      </c>
      <c r="AD66" s="56" t="s">
        <v>347</v>
      </c>
      <c r="AV66" s="39"/>
    </row>
    <row r="67" spans="1:62" s="81" customFormat="1" ht="12" hidden="1">
      <c r="A67" s="13" t="s">
        <v>415</v>
      </c>
      <c r="B67" s="13"/>
      <c r="C67" s="13" t="s">
        <v>365</v>
      </c>
      <c r="E67" s="89">
        <v>45849</v>
      </c>
      <c r="G67" s="82">
        <v>0</v>
      </c>
      <c r="H67" s="82"/>
      <c r="I67" s="82">
        <v>0</v>
      </c>
      <c r="J67" s="82"/>
      <c r="K67" s="82">
        <v>1518139</v>
      </c>
      <c r="L67" s="82"/>
      <c r="M67" s="82">
        <v>6159</v>
      </c>
      <c r="N67" s="82"/>
      <c r="O67" s="82">
        <v>58952</v>
      </c>
      <c r="P67" s="82"/>
      <c r="Q67" s="82">
        <v>1354</v>
      </c>
      <c r="R67" s="82"/>
      <c r="S67" s="82">
        <v>0</v>
      </c>
      <c r="T67" s="82"/>
      <c r="U67" s="82">
        <v>69500</v>
      </c>
      <c r="V67" s="82"/>
      <c r="W67" s="82">
        <f>64498+5366754</f>
        <v>5431252</v>
      </c>
      <c r="X67" s="82"/>
      <c r="Y67" s="88">
        <f>SUM(G67:X67)</f>
        <v>7085356</v>
      </c>
      <c r="Z67" s="82"/>
      <c r="AA67" s="82">
        <v>0</v>
      </c>
      <c r="AB67" s="82"/>
      <c r="AC67" s="82">
        <v>0</v>
      </c>
      <c r="AD67" s="13" t="s">
        <v>364</v>
      </c>
      <c r="AE67" s="13"/>
      <c r="AF67" s="13" t="s">
        <v>365</v>
      </c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8">
        <f>SUM(AA67:AT67)</f>
        <v>0</v>
      </c>
      <c r="AW67" s="82"/>
      <c r="AX67" s="88">
        <f t="shared" ref="AX67:AX98" si="5">+AV67+Y67</f>
        <v>7085356</v>
      </c>
      <c r="AZ67" s="60" t="s">
        <v>400</v>
      </c>
    </row>
    <row r="68" spans="1:62" s="81" customFormat="1" ht="12" hidden="1">
      <c r="A68" s="13" t="s">
        <v>416</v>
      </c>
      <c r="B68" s="13"/>
      <c r="C68" s="13" t="s">
        <v>156</v>
      </c>
      <c r="E68" s="89"/>
      <c r="G68" s="64">
        <v>0</v>
      </c>
      <c r="H68" s="64"/>
      <c r="I68" s="64">
        <v>0</v>
      </c>
      <c r="J68" s="64"/>
      <c r="K68" s="64">
        <v>5770731</v>
      </c>
      <c r="L68" s="64"/>
      <c r="M68" s="64">
        <v>39947</v>
      </c>
      <c r="N68" s="64"/>
      <c r="O68" s="64">
        <v>644339</v>
      </c>
      <c r="P68" s="64"/>
      <c r="Q68" s="64">
        <v>0</v>
      </c>
      <c r="R68" s="64"/>
      <c r="S68" s="64">
        <v>0</v>
      </c>
      <c r="T68" s="64"/>
      <c r="U68" s="64">
        <v>950</v>
      </c>
      <c r="V68" s="64"/>
      <c r="W68" s="64">
        <f>999051+87036</f>
        <v>1086087</v>
      </c>
      <c r="X68" s="64"/>
      <c r="Y68" s="91">
        <f>SUM(G68:X68)</f>
        <v>7542054</v>
      </c>
      <c r="Z68" s="64"/>
      <c r="AA68" s="64">
        <v>0</v>
      </c>
      <c r="AB68" s="64"/>
      <c r="AC68" s="64">
        <v>0</v>
      </c>
      <c r="AD68" s="13" t="s">
        <v>367</v>
      </c>
      <c r="AE68" s="13"/>
      <c r="AF68" s="13" t="s">
        <v>156</v>
      </c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91">
        <f>SUM(AA68:AT68)</f>
        <v>0</v>
      </c>
      <c r="AW68" s="64"/>
      <c r="AX68" s="91">
        <f t="shared" si="5"/>
        <v>7542054</v>
      </c>
      <c r="AY68" s="60"/>
      <c r="AZ68" s="60" t="s">
        <v>400</v>
      </c>
      <c r="BA68" s="60"/>
      <c r="BB68" s="60"/>
      <c r="BC68" s="60"/>
      <c r="BD68" s="60"/>
      <c r="BE68" s="60"/>
      <c r="BF68" s="60"/>
      <c r="BG68" s="60"/>
    </row>
    <row r="69" spans="1:62" s="60" customFormat="1" ht="12">
      <c r="A69" s="60" t="s">
        <v>161</v>
      </c>
      <c r="C69" s="60" t="s">
        <v>157</v>
      </c>
      <c r="E69" s="60">
        <v>135145</v>
      </c>
      <c r="G69" s="82">
        <v>0</v>
      </c>
      <c r="H69" s="82"/>
      <c r="I69" s="82"/>
      <c r="J69" s="82"/>
      <c r="K69" s="82">
        <v>3998294</v>
      </c>
      <c r="L69" s="82"/>
      <c r="M69" s="82">
        <v>28241</v>
      </c>
      <c r="N69" s="82"/>
      <c r="O69" s="82">
        <v>1596116</v>
      </c>
      <c r="P69" s="82"/>
      <c r="Q69" s="82">
        <v>0</v>
      </c>
      <c r="R69" s="82"/>
      <c r="S69" s="82">
        <v>0</v>
      </c>
      <c r="T69" s="82"/>
      <c r="U69" s="82">
        <v>11160</v>
      </c>
      <c r="V69" s="82"/>
      <c r="W69" s="82">
        <f>83377+1401506+1233977</f>
        <v>2718860</v>
      </c>
      <c r="X69" s="82"/>
      <c r="Y69" s="88">
        <f>SUM(G69:X69)</f>
        <v>8352671</v>
      </c>
      <c r="Z69" s="82"/>
      <c r="AA69" s="82">
        <v>0</v>
      </c>
      <c r="AB69" s="82"/>
      <c r="AC69" s="82">
        <v>0</v>
      </c>
      <c r="AD69" s="60" t="s">
        <v>161</v>
      </c>
      <c r="AF69" s="60" t="s">
        <v>157</v>
      </c>
      <c r="AG69" s="82"/>
      <c r="AH69" s="82">
        <v>0</v>
      </c>
      <c r="AI69" s="82"/>
      <c r="AJ69" s="82">
        <v>0</v>
      </c>
      <c r="AK69" s="82"/>
      <c r="AL69" s="82">
        <v>0</v>
      </c>
      <c r="AM69" s="82"/>
      <c r="AN69" s="82">
        <v>0</v>
      </c>
      <c r="AO69" s="82"/>
      <c r="AP69" s="82"/>
      <c r="AQ69" s="82"/>
      <c r="AR69" s="82">
        <v>0</v>
      </c>
      <c r="AS69" s="82"/>
      <c r="AT69" s="82">
        <v>0</v>
      </c>
      <c r="AU69" s="82"/>
      <c r="AV69" s="88">
        <f>SUM(AA69:AT69)</f>
        <v>0</v>
      </c>
      <c r="AW69" s="82"/>
      <c r="AX69" s="88">
        <f t="shared" si="5"/>
        <v>8352671</v>
      </c>
      <c r="AY69" s="81"/>
      <c r="AZ69" s="13"/>
      <c r="BA69" s="81"/>
      <c r="BB69" s="81"/>
      <c r="BC69" s="81"/>
      <c r="BD69" s="81"/>
      <c r="BE69" s="81"/>
      <c r="BF69" s="81"/>
      <c r="BG69" s="81"/>
      <c r="BH69" s="81"/>
      <c r="BI69" s="81"/>
      <c r="BJ69" s="81"/>
    </row>
    <row r="70" spans="1:62" s="60" customFormat="1" ht="12" hidden="1">
      <c r="A70" s="13" t="s">
        <v>417</v>
      </c>
      <c r="B70" s="13"/>
      <c r="C70" s="13" t="s">
        <v>369</v>
      </c>
      <c r="G70" s="64"/>
      <c r="H70" s="64"/>
      <c r="I70" s="64"/>
      <c r="J70" s="64"/>
      <c r="K70" s="64">
        <v>3339464</v>
      </c>
      <c r="L70" s="64"/>
      <c r="M70" s="64">
        <v>27753</v>
      </c>
      <c r="N70" s="64"/>
      <c r="O70" s="64">
        <v>576448</v>
      </c>
      <c r="P70" s="64"/>
      <c r="Q70" s="64">
        <v>10845</v>
      </c>
      <c r="R70" s="64"/>
      <c r="S70" s="64"/>
      <c r="T70" s="64"/>
      <c r="U70" s="64"/>
      <c r="V70" s="64"/>
      <c r="W70" s="64">
        <f>5015580+119069</f>
        <v>5134649</v>
      </c>
      <c r="X70" s="64"/>
      <c r="Y70" s="91">
        <f>SUM(G70:X70)</f>
        <v>9089159</v>
      </c>
      <c r="Z70" s="64"/>
      <c r="AA70" s="64">
        <v>0</v>
      </c>
      <c r="AB70" s="64"/>
      <c r="AC70" s="64">
        <v>0</v>
      </c>
      <c r="AD70" s="13" t="s">
        <v>368</v>
      </c>
      <c r="AE70" s="13"/>
      <c r="AF70" s="13" t="s">
        <v>369</v>
      </c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91">
        <f>SUM(AA70:AT70)</f>
        <v>0</v>
      </c>
      <c r="AW70" s="64"/>
      <c r="AX70" s="91">
        <f t="shared" si="5"/>
        <v>9089159</v>
      </c>
      <c r="AZ70" s="60" t="s">
        <v>400</v>
      </c>
    </row>
    <row r="71" spans="1:62" s="19" customFormat="1" ht="12">
      <c r="A71" s="19" t="s">
        <v>163</v>
      </c>
      <c r="C71" s="19" t="s">
        <v>164</v>
      </c>
      <c r="E71" s="19">
        <v>46029</v>
      </c>
      <c r="G71" s="36">
        <v>0</v>
      </c>
      <c r="H71" s="36"/>
      <c r="I71" s="36"/>
      <c r="J71" s="36"/>
      <c r="K71" s="36">
        <v>957496</v>
      </c>
      <c r="L71" s="36"/>
      <c r="M71" s="36">
        <v>50301</v>
      </c>
      <c r="N71" s="36"/>
      <c r="O71" s="36">
        <v>88589</v>
      </c>
      <c r="P71" s="36"/>
      <c r="Q71" s="36">
        <v>0</v>
      </c>
      <c r="R71" s="36"/>
      <c r="S71" s="36">
        <v>0</v>
      </c>
      <c r="T71" s="36"/>
      <c r="U71" s="36">
        <v>1750</v>
      </c>
      <c r="V71" s="36"/>
      <c r="W71" s="36">
        <v>3441405</v>
      </c>
      <c r="X71" s="36"/>
      <c r="Y71" s="39">
        <f>SUM(G71:X71)</f>
        <v>4539541</v>
      </c>
      <c r="Z71" s="36"/>
      <c r="AA71" s="36">
        <v>0</v>
      </c>
      <c r="AB71" s="36"/>
      <c r="AC71" s="36">
        <v>0</v>
      </c>
      <c r="AD71" s="19" t="s">
        <v>163</v>
      </c>
      <c r="AF71" s="19" t="s">
        <v>164</v>
      </c>
      <c r="AG71" s="36"/>
      <c r="AH71" s="36">
        <v>0</v>
      </c>
      <c r="AI71" s="36"/>
      <c r="AJ71" s="36">
        <v>0</v>
      </c>
      <c r="AK71" s="36"/>
      <c r="AL71" s="36">
        <v>0</v>
      </c>
      <c r="AM71" s="36"/>
      <c r="AN71" s="36">
        <v>0</v>
      </c>
      <c r="AO71" s="36"/>
      <c r="AP71" s="36"/>
      <c r="AQ71" s="36"/>
      <c r="AR71" s="36">
        <v>0</v>
      </c>
      <c r="AS71" s="36"/>
      <c r="AT71" s="36">
        <v>0</v>
      </c>
      <c r="AU71" s="36"/>
      <c r="AV71" s="39">
        <f>SUM(AA71:AT71)</f>
        <v>0</v>
      </c>
      <c r="AW71" s="36"/>
      <c r="AX71" s="39">
        <f t="shared" si="5"/>
        <v>4539541</v>
      </c>
    </row>
    <row r="72" spans="1:62" s="19" customFormat="1" ht="12">
      <c r="A72" s="19" t="s">
        <v>165</v>
      </c>
      <c r="C72" s="19" t="s">
        <v>159</v>
      </c>
      <c r="E72" s="19">
        <v>46086</v>
      </c>
      <c r="G72" s="36">
        <v>0</v>
      </c>
      <c r="H72" s="36"/>
      <c r="I72" s="36"/>
      <c r="J72" s="36"/>
      <c r="K72" s="36">
        <v>6651717</v>
      </c>
      <c r="L72" s="36"/>
      <c r="M72" s="36">
        <v>12453</v>
      </c>
      <c r="N72" s="36"/>
      <c r="O72" s="36">
        <v>78287</v>
      </c>
      <c r="P72" s="36"/>
      <c r="Q72" s="36">
        <v>0</v>
      </c>
      <c r="R72" s="36"/>
      <c r="S72" s="36">
        <v>0</v>
      </c>
      <c r="T72" s="36"/>
      <c r="U72" s="36">
        <v>0</v>
      </c>
      <c r="V72" s="36"/>
      <c r="W72" s="36">
        <v>5092189</v>
      </c>
      <c r="X72" s="36"/>
      <c r="Y72" s="39">
        <f t="shared" ref="Y72:Y127" si="6">SUM(G72:X72)</f>
        <v>11834646</v>
      </c>
      <c r="Z72" s="36"/>
      <c r="AA72" s="36">
        <v>0</v>
      </c>
      <c r="AB72" s="36"/>
      <c r="AC72" s="36">
        <v>0</v>
      </c>
      <c r="AD72" s="19" t="s">
        <v>165</v>
      </c>
      <c r="AF72" s="19" t="s">
        <v>159</v>
      </c>
      <c r="AG72" s="36"/>
      <c r="AH72" s="36">
        <v>0</v>
      </c>
      <c r="AI72" s="36"/>
      <c r="AJ72" s="36">
        <v>0</v>
      </c>
      <c r="AK72" s="36"/>
      <c r="AL72" s="36">
        <v>0</v>
      </c>
      <c r="AM72" s="36"/>
      <c r="AN72" s="36">
        <v>0</v>
      </c>
      <c r="AO72" s="36"/>
      <c r="AP72" s="36"/>
      <c r="AQ72" s="36"/>
      <c r="AR72" s="36">
        <v>0</v>
      </c>
      <c r="AS72" s="36"/>
      <c r="AT72" s="36">
        <v>0</v>
      </c>
      <c r="AU72" s="36"/>
      <c r="AV72" s="39">
        <f t="shared" ref="AV72:AV127" si="7">SUM(AA72:AT72)</f>
        <v>0</v>
      </c>
      <c r="AW72" s="36"/>
      <c r="AX72" s="39">
        <f t="shared" si="5"/>
        <v>11834646</v>
      </c>
    </row>
    <row r="73" spans="1:62" s="19" customFormat="1" ht="12">
      <c r="A73" s="19" t="s">
        <v>168</v>
      </c>
      <c r="C73" s="19" t="s">
        <v>169</v>
      </c>
      <c r="E73" s="19">
        <v>46227</v>
      </c>
      <c r="G73" s="36">
        <v>0</v>
      </c>
      <c r="H73" s="36"/>
      <c r="I73" s="36"/>
      <c r="J73" s="36"/>
      <c r="K73" s="36">
        <v>2346031</v>
      </c>
      <c r="L73" s="36"/>
      <c r="M73" s="36">
        <v>35815</v>
      </c>
      <c r="N73" s="36"/>
      <c r="O73" s="36">
        <v>3607519</v>
      </c>
      <c r="P73" s="36"/>
      <c r="Q73" s="36">
        <v>0</v>
      </c>
      <c r="R73" s="36"/>
      <c r="S73" s="36">
        <v>0</v>
      </c>
      <c r="T73" s="36"/>
      <c r="U73" s="36">
        <v>0</v>
      </c>
      <c r="V73" s="36"/>
      <c r="W73" s="36">
        <v>563988</v>
      </c>
      <c r="X73" s="36"/>
      <c r="Y73" s="39">
        <f t="shared" si="6"/>
        <v>6553353</v>
      </c>
      <c r="Z73" s="36"/>
      <c r="AA73" s="36">
        <v>0</v>
      </c>
      <c r="AB73" s="36"/>
      <c r="AC73" s="36">
        <v>0</v>
      </c>
      <c r="AD73" s="19" t="s">
        <v>168</v>
      </c>
      <c r="AF73" s="19" t="s">
        <v>169</v>
      </c>
      <c r="AG73" s="36"/>
      <c r="AH73" s="36">
        <v>0</v>
      </c>
      <c r="AI73" s="36"/>
      <c r="AJ73" s="36">
        <v>0</v>
      </c>
      <c r="AK73" s="36"/>
      <c r="AL73" s="36">
        <v>0</v>
      </c>
      <c r="AM73" s="36"/>
      <c r="AN73" s="36">
        <v>0</v>
      </c>
      <c r="AO73" s="36"/>
      <c r="AP73" s="36"/>
      <c r="AQ73" s="36"/>
      <c r="AR73" s="36">
        <v>0</v>
      </c>
      <c r="AS73" s="36"/>
      <c r="AT73" s="36">
        <v>0</v>
      </c>
      <c r="AU73" s="36"/>
      <c r="AV73" s="39">
        <f t="shared" si="7"/>
        <v>0</v>
      </c>
      <c r="AW73" s="36"/>
      <c r="AX73" s="39">
        <f t="shared" si="5"/>
        <v>6553353</v>
      </c>
    </row>
    <row r="74" spans="1:62" s="19" customFormat="1" ht="12">
      <c r="A74" s="19" t="s">
        <v>170</v>
      </c>
      <c r="C74" s="19" t="s">
        <v>171</v>
      </c>
      <c r="E74" s="19">
        <v>46292</v>
      </c>
      <c r="G74" s="36">
        <v>0</v>
      </c>
      <c r="H74" s="36"/>
      <c r="I74" s="36"/>
      <c r="J74" s="36"/>
      <c r="K74" s="36">
        <v>2408815</v>
      </c>
      <c r="L74" s="36"/>
      <c r="M74" s="36">
        <v>61172</v>
      </c>
      <c r="N74" s="36"/>
      <c r="O74" s="36">
        <v>14767228</v>
      </c>
      <c r="P74" s="36"/>
      <c r="Q74" s="36">
        <v>0</v>
      </c>
      <c r="R74" s="36"/>
      <c r="S74" s="36">
        <v>0</v>
      </c>
      <c r="T74" s="36"/>
      <c r="U74" s="36">
        <v>145926</v>
      </c>
      <c r="V74" s="36"/>
      <c r="W74" s="36">
        <v>879109</v>
      </c>
      <c r="X74" s="36"/>
      <c r="Y74" s="39">
        <f t="shared" si="6"/>
        <v>18262250</v>
      </c>
      <c r="Z74" s="36"/>
      <c r="AA74" s="36">
        <v>15000</v>
      </c>
      <c r="AB74" s="36"/>
      <c r="AC74" s="36">
        <v>0</v>
      </c>
      <c r="AD74" s="19" t="s">
        <v>170</v>
      </c>
      <c r="AF74" s="19" t="s">
        <v>171</v>
      </c>
      <c r="AG74" s="36"/>
      <c r="AH74" s="36">
        <v>0</v>
      </c>
      <c r="AI74" s="36"/>
      <c r="AJ74" s="36"/>
      <c r="AK74" s="36"/>
      <c r="AL74" s="36">
        <v>0</v>
      </c>
      <c r="AM74" s="36"/>
      <c r="AN74" s="36">
        <v>0</v>
      </c>
      <c r="AO74" s="36"/>
      <c r="AP74" s="36"/>
      <c r="AQ74" s="36"/>
      <c r="AR74" s="36">
        <v>0</v>
      </c>
      <c r="AS74" s="36"/>
      <c r="AT74" s="36">
        <v>0</v>
      </c>
      <c r="AU74" s="36"/>
      <c r="AV74" s="39">
        <f t="shared" si="7"/>
        <v>15000</v>
      </c>
      <c r="AW74" s="36"/>
      <c r="AX74" s="39">
        <f t="shared" si="5"/>
        <v>18277250</v>
      </c>
    </row>
    <row r="75" spans="1:62" s="60" customFormat="1" ht="12" hidden="1">
      <c r="A75" s="80" t="s">
        <v>405</v>
      </c>
      <c r="C75" s="60" t="s">
        <v>173</v>
      </c>
      <c r="E75" s="60">
        <v>46375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91">
        <f t="shared" si="6"/>
        <v>0</v>
      </c>
      <c r="Z75" s="64"/>
      <c r="AA75" s="64">
        <v>0</v>
      </c>
      <c r="AB75" s="64"/>
      <c r="AC75" s="64">
        <v>0</v>
      </c>
      <c r="AD75" s="60" t="s">
        <v>172</v>
      </c>
      <c r="AF75" s="60" t="s">
        <v>173</v>
      </c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36">
        <v>0</v>
      </c>
      <c r="AS75" s="64"/>
      <c r="AT75" s="64"/>
      <c r="AU75" s="64"/>
      <c r="AV75" s="91">
        <f t="shared" si="7"/>
        <v>0</v>
      </c>
      <c r="AW75" s="64"/>
      <c r="AX75" s="91">
        <f t="shared" si="5"/>
        <v>0</v>
      </c>
      <c r="AZ75" s="80" t="s">
        <v>406</v>
      </c>
    </row>
    <row r="76" spans="1:62" s="19" customFormat="1" ht="12">
      <c r="A76" s="19" t="s">
        <v>174</v>
      </c>
      <c r="C76" s="19" t="s">
        <v>175</v>
      </c>
      <c r="E76" s="19">
        <v>46417</v>
      </c>
      <c r="G76" s="36">
        <v>0</v>
      </c>
      <c r="H76" s="36"/>
      <c r="I76" s="36"/>
      <c r="J76" s="36"/>
      <c r="K76" s="36">
        <v>2496483</v>
      </c>
      <c r="L76" s="36"/>
      <c r="M76" s="36">
        <v>1415</v>
      </c>
      <c r="N76" s="36"/>
      <c r="O76" s="36">
        <v>5752896</v>
      </c>
      <c r="P76" s="36"/>
      <c r="Q76" s="36">
        <v>915</v>
      </c>
      <c r="R76" s="36"/>
      <c r="S76" s="36">
        <v>0</v>
      </c>
      <c r="T76" s="36"/>
      <c r="U76" s="36">
        <v>2444</v>
      </c>
      <c r="V76" s="36"/>
      <c r="W76" s="36">
        <v>1405652</v>
      </c>
      <c r="X76" s="36"/>
      <c r="Y76" s="39">
        <f t="shared" si="6"/>
        <v>9659805</v>
      </c>
      <c r="Z76" s="36"/>
      <c r="AA76" s="36">
        <v>11957</v>
      </c>
      <c r="AB76" s="36"/>
      <c r="AC76" s="36">
        <v>0</v>
      </c>
      <c r="AD76" s="19" t="s">
        <v>174</v>
      </c>
      <c r="AF76" s="19" t="s">
        <v>175</v>
      </c>
      <c r="AG76" s="36"/>
      <c r="AH76" s="36">
        <v>450000</v>
      </c>
      <c r="AI76" s="36"/>
      <c r="AJ76" s="36"/>
      <c r="AK76" s="36"/>
      <c r="AL76" s="36">
        <v>0</v>
      </c>
      <c r="AM76" s="36"/>
      <c r="AN76" s="36">
        <v>0</v>
      </c>
      <c r="AO76" s="36"/>
      <c r="AP76" s="36"/>
      <c r="AQ76" s="36"/>
      <c r="AR76" s="36">
        <v>0</v>
      </c>
      <c r="AS76" s="36"/>
      <c r="AT76" s="36">
        <v>0</v>
      </c>
      <c r="AU76" s="36"/>
      <c r="AV76" s="39">
        <f t="shared" si="7"/>
        <v>461957</v>
      </c>
      <c r="AW76" s="36"/>
      <c r="AX76" s="39">
        <f t="shared" si="5"/>
        <v>10121762</v>
      </c>
    </row>
    <row r="77" spans="1:62" s="19" customFormat="1" ht="12">
      <c r="A77" s="19" t="s">
        <v>176</v>
      </c>
      <c r="C77" s="19" t="s">
        <v>177</v>
      </c>
      <c r="E77" s="19">
        <v>46532</v>
      </c>
      <c r="G77" s="36">
        <v>0</v>
      </c>
      <c r="H77" s="36"/>
      <c r="I77" s="36"/>
      <c r="J77" s="36"/>
      <c r="K77" s="36">
        <v>21403049</v>
      </c>
      <c r="L77" s="36"/>
      <c r="M77" s="36">
        <v>389229</v>
      </c>
      <c r="N77" s="36"/>
      <c r="O77" s="36">
        <v>32206875</v>
      </c>
      <c r="P77" s="36"/>
      <c r="Q77" s="36">
        <v>1540</v>
      </c>
      <c r="R77" s="36"/>
      <c r="S77" s="36">
        <v>0</v>
      </c>
      <c r="T77" s="36"/>
      <c r="U77" s="36">
        <v>3254</v>
      </c>
      <c r="V77" s="36"/>
      <c r="W77" s="36">
        <v>12684991</v>
      </c>
      <c r="X77" s="36"/>
      <c r="Y77" s="39">
        <f t="shared" si="6"/>
        <v>66688938</v>
      </c>
      <c r="Z77" s="36"/>
      <c r="AA77" s="36">
        <v>0</v>
      </c>
      <c r="AB77" s="36"/>
      <c r="AC77" s="36">
        <v>0</v>
      </c>
      <c r="AD77" s="19" t="s">
        <v>176</v>
      </c>
      <c r="AF77" s="19" t="s">
        <v>177</v>
      </c>
      <c r="AG77" s="36"/>
      <c r="AH77" s="36">
        <v>0</v>
      </c>
      <c r="AI77" s="36"/>
      <c r="AJ77" s="36">
        <v>0</v>
      </c>
      <c r="AK77" s="36"/>
      <c r="AL77" s="36">
        <v>0</v>
      </c>
      <c r="AM77" s="36"/>
      <c r="AN77" s="36">
        <v>0</v>
      </c>
      <c r="AO77" s="36"/>
      <c r="AP77" s="36"/>
      <c r="AQ77" s="36"/>
      <c r="AR77" s="36">
        <v>0</v>
      </c>
      <c r="AS77" s="36"/>
      <c r="AT77" s="36">
        <v>0</v>
      </c>
      <c r="AU77" s="36"/>
      <c r="AV77" s="39">
        <f t="shared" si="7"/>
        <v>0</v>
      </c>
      <c r="AW77" s="36"/>
      <c r="AX77" s="39">
        <f t="shared" si="5"/>
        <v>66688938</v>
      </c>
    </row>
    <row r="78" spans="1:62" s="19" customFormat="1" ht="12" hidden="1">
      <c r="A78" s="19" t="s">
        <v>395</v>
      </c>
      <c r="C78" s="19" t="s">
        <v>179</v>
      </c>
      <c r="E78" s="19">
        <v>46615</v>
      </c>
      <c r="G78" s="36"/>
      <c r="H78" s="36"/>
      <c r="I78" s="36"/>
      <c r="J78" s="36"/>
      <c r="K78" s="36">
        <v>1722332</v>
      </c>
      <c r="L78" s="36"/>
      <c r="M78" s="36">
        <v>18565</v>
      </c>
      <c r="N78" s="36"/>
      <c r="O78" s="36">
        <v>171644</v>
      </c>
      <c r="P78" s="36"/>
      <c r="Q78" s="36">
        <v>11680</v>
      </c>
      <c r="R78" s="36"/>
      <c r="S78" s="36"/>
      <c r="T78" s="36"/>
      <c r="U78" s="36"/>
      <c r="V78" s="36"/>
      <c r="W78" s="36">
        <v>1590245</v>
      </c>
      <c r="X78" s="36"/>
      <c r="Y78" s="39">
        <f t="shared" si="6"/>
        <v>3514466</v>
      </c>
      <c r="Z78" s="36"/>
      <c r="AA78" s="36"/>
      <c r="AB78" s="36"/>
      <c r="AC78" s="36">
        <v>0</v>
      </c>
      <c r="AD78" s="19" t="s">
        <v>178</v>
      </c>
      <c r="AF78" s="19" t="s">
        <v>179</v>
      </c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>
        <v>0</v>
      </c>
      <c r="AS78" s="36"/>
      <c r="AT78" s="36"/>
      <c r="AU78" s="36"/>
      <c r="AV78" s="39">
        <f t="shared" si="7"/>
        <v>0</v>
      </c>
      <c r="AW78" s="36"/>
      <c r="AX78" s="39">
        <f t="shared" si="5"/>
        <v>3514466</v>
      </c>
      <c r="AZ78" s="63" t="s">
        <v>373</v>
      </c>
    </row>
    <row r="79" spans="1:62" s="60" customFormat="1" ht="12" hidden="1">
      <c r="A79" s="80" t="s">
        <v>180</v>
      </c>
      <c r="C79" s="60" t="s">
        <v>181</v>
      </c>
      <c r="E79" s="60">
        <v>46730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91">
        <f t="shared" si="6"/>
        <v>0</v>
      </c>
      <c r="Z79" s="64"/>
      <c r="AA79" s="64"/>
      <c r="AB79" s="64"/>
      <c r="AC79" s="64">
        <v>0</v>
      </c>
      <c r="AD79" s="60" t="s">
        <v>180</v>
      </c>
      <c r="AF79" s="60" t="s">
        <v>181</v>
      </c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36">
        <v>0</v>
      </c>
      <c r="AS79" s="64"/>
      <c r="AT79" s="64"/>
      <c r="AU79" s="64"/>
      <c r="AV79" s="91">
        <f t="shared" si="7"/>
        <v>0</v>
      </c>
      <c r="AW79" s="64"/>
      <c r="AX79" s="91">
        <f t="shared" si="5"/>
        <v>0</v>
      </c>
      <c r="AZ79" s="80" t="s">
        <v>410</v>
      </c>
    </row>
    <row r="80" spans="1:62" s="60" customFormat="1" ht="12" hidden="1">
      <c r="A80" s="80" t="s">
        <v>412</v>
      </c>
      <c r="C80" s="60" t="s">
        <v>183</v>
      </c>
      <c r="E80" s="60">
        <v>125690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91">
        <f t="shared" si="6"/>
        <v>0</v>
      </c>
      <c r="Z80" s="64"/>
      <c r="AA80" s="64"/>
      <c r="AB80" s="64"/>
      <c r="AC80" s="64">
        <v>0</v>
      </c>
      <c r="AD80" s="60" t="s">
        <v>182</v>
      </c>
      <c r="AF80" s="60" t="s">
        <v>183</v>
      </c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36">
        <v>0</v>
      </c>
      <c r="AS80" s="64"/>
      <c r="AT80" s="64"/>
      <c r="AU80" s="64"/>
      <c r="AV80" s="91">
        <f t="shared" si="7"/>
        <v>0</v>
      </c>
      <c r="AW80" s="64"/>
      <c r="AX80" s="91">
        <f t="shared" si="5"/>
        <v>0</v>
      </c>
      <c r="AZ80" s="80" t="s">
        <v>414</v>
      </c>
    </row>
    <row r="81" spans="1:52" s="19" customFormat="1" ht="12">
      <c r="A81" s="19" t="s">
        <v>184</v>
      </c>
      <c r="C81" s="19" t="s">
        <v>185</v>
      </c>
      <c r="E81" s="19">
        <v>46839</v>
      </c>
      <c r="G81" s="36">
        <v>0</v>
      </c>
      <c r="H81" s="36"/>
      <c r="I81" s="36"/>
      <c r="J81" s="36"/>
      <c r="K81" s="36">
        <v>1379007</v>
      </c>
      <c r="L81" s="36"/>
      <c r="M81" s="36">
        <v>9888</v>
      </c>
      <c r="N81" s="36"/>
      <c r="O81" s="36">
        <v>0</v>
      </c>
      <c r="P81" s="36"/>
      <c r="Q81" s="36">
        <v>0</v>
      </c>
      <c r="R81" s="36"/>
      <c r="S81" s="36">
        <v>0</v>
      </c>
      <c r="T81" s="36"/>
      <c r="U81" s="36">
        <v>0</v>
      </c>
      <c r="V81" s="36"/>
      <c r="W81" s="36">
        <v>6759007</v>
      </c>
      <c r="X81" s="36"/>
      <c r="Y81" s="39">
        <f t="shared" si="6"/>
        <v>8147902</v>
      </c>
      <c r="Z81" s="36"/>
      <c r="AA81" s="36">
        <v>0</v>
      </c>
      <c r="AB81" s="36"/>
      <c r="AC81" s="36">
        <v>0</v>
      </c>
      <c r="AD81" s="19" t="s">
        <v>184</v>
      </c>
      <c r="AF81" s="19" t="s">
        <v>185</v>
      </c>
      <c r="AG81" s="36"/>
      <c r="AH81" s="36">
        <v>0</v>
      </c>
      <c r="AI81" s="36"/>
      <c r="AJ81" s="36"/>
      <c r="AK81" s="36"/>
      <c r="AL81" s="36">
        <v>32311</v>
      </c>
      <c r="AM81" s="36"/>
      <c r="AN81" s="36">
        <v>0</v>
      </c>
      <c r="AO81" s="36"/>
      <c r="AP81" s="36"/>
      <c r="AQ81" s="36"/>
      <c r="AR81" s="36">
        <v>0</v>
      </c>
      <c r="AS81" s="36"/>
      <c r="AT81" s="36">
        <v>0</v>
      </c>
      <c r="AU81" s="36"/>
      <c r="AV81" s="39">
        <f t="shared" si="7"/>
        <v>32311</v>
      </c>
      <c r="AW81" s="36"/>
      <c r="AX81" s="39">
        <f t="shared" si="5"/>
        <v>8180213</v>
      </c>
    </row>
    <row r="82" spans="1:52" s="19" customFormat="1" ht="12">
      <c r="A82" s="2" t="s">
        <v>433</v>
      </c>
      <c r="C82" s="19" t="s">
        <v>186</v>
      </c>
      <c r="E82" s="19">
        <v>46938</v>
      </c>
      <c r="G82" s="36">
        <v>0</v>
      </c>
      <c r="H82" s="36"/>
      <c r="I82" s="36"/>
      <c r="J82" s="36"/>
      <c r="K82" s="36">
        <v>12891506</v>
      </c>
      <c r="L82" s="36"/>
      <c r="M82" s="36">
        <v>161133</v>
      </c>
      <c r="N82" s="36"/>
      <c r="O82" s="36">
        <v>19696381</v>
      </c>
      <c r="P82" s="36"/>
      <c r="Q82" s="36">
        <v>1501</v>
      </c>
      <c r="R82" s="36"/>
      <c r="S82" s="36">
        <v>0</v>
      </c>
      <c r="T82" s="36"/>
      <c r="U82" s="36">
        <v>359302</v>
      </c>
      <c r="V82" s="36"/>
      <c r="W82" s="36">
        <v>23288112</v>
      </c>
      <c r="X82" s="36"/>
      <c r="Y82" s="39">
        <f t="shared" si="6"/>
        <v>56397935</v>
      </c>
      <c r="Z82" s="36"/>
      <c r="AA82" s="36">
        <v>751</v>
      </c>
      <c r="AB82" s="36"/>
      <c r="AC82" s="36">
        <v>0</v>
      </c>
      <c r="AD82" s="2" t="s">
        <v>433</v>
      </c>
      <c r="AF82" s="19" t="s">
        <v>186</v>
      </c>
      <c r="AG82" s="36"/>
      <c r="AH82" s="36">
        <v>0</v>
      </c>
      <c r="AI82" s="36"/>
      <c r="AJ82" s="36"/>
      <c r="AK82" s="36"/>
      <c r="AL82" s="36">
        <v>0</v>
      </c>
      <c r="AM82" s="36"/>
      <c r="AN82" s="36">
        <v>0</v>
      </c>
      <c r="AO82" s="36"/>
      <c r="AP82" s="36"/>
      <c r="AQ82" s="36"/>
      <c r="AR82" s="36">
        <v>0</v>
      </c>
      <c r="AS82" s="36"/>
      <c r="AT82" s="36">
        <v>1666577</v>
      </c>
      <c r="AU82" s="36"/>
      <c r="AV82" s="39">
        <f t="shared" si="7"/>
        <v>1667328</v>
      </c>
      <c r="AW82" s="36"/>
      <c r="AX82" s="39">
        <f t="shared" si="5"/>
        <v>58065263</v>
      </c>
      <c r="AZ82" s="60" t="s">
        <v>409</v>
      </c>
    </row>
    <row r="83" spans="1:52" s="19" customFormat="1" ht="12">
      <c r="A83" s="19" t="s">
        <v>188</v>
      </c>
      <c r="C83" s="19" t="s">
        <v>189</v>
      </c>
      <c r="E83" s="19">
        <v>125682</v>
      </c>
      <c r="G83" s="36">
        <v>0</v>
      </c>
      <c r="H83" s="36"/>
      <c r="I83" s="36"/>
      <c r="J83" s="36"/>
      <c r="K83" s="36">
        <v>1630378</v>
      </c>
      <c r="L83" s="36"/>
      <c r="M83" s="36">
        <v>32459</v>
      </c>
      <c r="N83" s="36"/>
      <c r="O83" s="36">
        <v>0</v>
      </c>
      <c r="P83" s="36"/>
      <c r="Q83" s="36">
        <v>0</v>
      </c>
      <c r="R83" s="36"/>
      <c r="S83" s="36">
        <v>0</v>
      </c>
      <c r="T83" s="36"/>
      <c r="U83" s="36">
        <v>0</v>
      </c>
      <c r="V83" s="36"/>
      <c r="W83" s="36">
        <v>1003611</v>
      </c>
      <c r="X83" s="36"/>
      <c r="Y83" s="39">
        <f t="shared" si="6"/>
        <v>2666448</v>
      </c>
      <c r="Z83" s="36"/>
      <c r="AA83" s="36">
        <v>0</v>
      </c>
      <c r="AB83" s="36"/>
      <c r="AC83" s="36">
        <v>0</v>
      </c>
      <c r="AD83" s="19" t="s">
        <v>188</v>
      </c>
      <c r="AF83" s="19" t="s">
        <v>189</v>
      </c>
      <c r="AG83" s="36"/>
      <c r="AH83" s="36">
        <v>0</v>
      </c>
      <c r="AI83" s="36"/>
      <c r="AJ83" s="36"/>
      <c r="AK83" s="36"/>
      <c r="AL83" s="36">
        <v>0</v>
      </c>
      <c r="AM83" s="36"/>
      <c r="AN83" s="36">
        <v>0</v>
      </c>
      <c r="AO83" s="36"/>
      <c r="AP83" s="36"/>
      <c r="AQ83" s="36"/>
      <c r="AR83" s="36">
        <v>0</v>
      </c>
      <c r="AS83" s="36"/>
      <c r="AT83" s="36">
        <v>0</v>
      </c>
      <c r="AU83" s="36"/>
      <c r="AV83" s="39">
        <f t="shared" si="7"/>
        <v>0</v>
      </c>
      <c r="AW83" s="36"/>
      <c r="AX83" s="39">
        <f t="shared" si="5"/>
        <v>2666448</v>
      </c>
    </row>
    <row r="84" spans="1:52" s="19" customFormat="1" ht="12" hidden="1">
      <c r="A84" s="72" t="s">
        <v>393</v>
      </c>
      <c r="C84" s="19" t="s">
        <v>191</v>
      </c>
      <c r="E84" s="19">
        <v>47159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9">
        <f t="shared" si="6"/>
        <v>0</v>
      </c>
      <c r="Z84" s="36"/>
      <c r="AA84" s="36"/>
      <c r="AB84" s="36"/>
      <c r="AC84" s="36">
        <v>0</v>
      </c>
      <c r="AD84" s="19" t="s">
        <v>190</v>
      </c>
      <c r="AF84" s="19" t="s">
        <v>191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>
        <v>0</v>
      </c>
      <c r="AS84" s="36"/>
      <c r="AT84" s="36"/>
      <c r="AU84" s="36"/>
      <c r="AV84" s="39">
        <f t="shared" si="7"/>
        <v>0</v>
      </c>
      <c r="AW84" s="36"/>
      <c r="AX84" s="39">
        <f t="shared" si="5"/>
        <v>0</v>
      </c>
      <c r="AZ84" s="72" t="s">
        <v>394</v>
      </c>
    </row>
    <row r="85" spans="1:52" s="19" customFormat="1" ht="12">
      <c r="A85" s="19" t="s">
        <v>192</v>
      </c>
      <c r="C85" s="19" t="s">
        <v>193</v>
      </c>
      <c r="E85" s="19">
        <v>47233</v>
      </c>
      <c r="G85" s="36">
        <v>0</v>
      </c>
      <c r="H85" s="36"/>
      <c r="I85" s="36"/>
      <c r="J85" s="36"/>
      <c r="K85" s="36">
        <v>2678336</v>
      </c>
      <c r="L85" s="36"/>
      <c r="M85" s="36">
        <v>16805</v>
      </c>
      <c r="N85" s="36"/>
      <c r="O85" s="36">
        <v>10387943</v>
      </c>
      <c r="P85" s="36"/>
      <c r="Q85" s="36">
        <v>0</v>
      </c>
      <c r="R85" s="36"/>
      <c r="S85" s="36">
        <v>0</v>
      </c>
      <c r="T85" s="36"/>
      <c r="U85" s="36">
        <v>0</v>
      </c>
      <c r="V85" s="36"/>
      <c r="W85" s="36">
        <v>269108</v>
      </c>
      <c r="X85" s="36"/>
      <c r="Y85" s="39">
        <f t="shared" si="6"/>
        <v>13352192</v>
      </c>
      <c r="Z85" s="36"/>
      <c r="AA85" s="36">
        <v>0</v>
      </c>
      <c r="AB85" s="36"/>
      <c r="AC85" s="36">
        <v>0</v>
      </c>
      <c r="AD85" s="19" t="s">
        <v>192</v>
      </c>
      <c r="AF85" s="19" t="s">
        <v>193</v>
      </c>
      <c r="AG85" s="36"/>
      <c r="AH85" s="36">
        <v>0</v>
      </c>
      <c r="AI85" s="36"/>
      <c r="AJ85" s="36"/>
      <c r="AK85" s="36"/>
      <c r="AL85" s="36">
        <v>0</v>
      </c>
      <c r="AM85" s="36"/>
      <c r="AN85" s="36">
        <v>0</v>
      </c>
      <c r="AO85" s="36"/>
      <c r="AP85" s="36"/>
      <c r="AQ85" s="36"/>
      <c r="AR85" s="36">
        <v>0</v>
      </c>
      <c r="AS85" s="36"/>
      <c r="AT85" s="36">
        <v>0</v>
      </c>
      <c r="AU85" s="36"/>
      <c r="AV85" s="39">
        <f t="shared" si="7"/>
        <v>0</v>
      </c>
      <c r="AW85" s="36"/>
      <c r="AX85" s="39">
        <f t="shared" si="5"/>
        <v>13352192</v>
      </c>
    </row>
    <row r="86" spans="1:52" s="19" customFormat="1" ht="12">
      <c r="A86" s="19" t="s">
        <v>194</v>
      </c>
      <c r="C86" s="19" t="s">
        <v>195</v>
      </c>
      <c r="E86" s="19">
        <v>47324</v>
      </c>
      <c r="G86" s="36">
        <v>0</v>
      </c>
      <c r="H86" s="36"/>
      <c r="I86" s="36"/>
      <c r="J86" s="36"/>
      <c r="K86" s="36">
        <v>19130440</v>
      </c>
      <c r="L86" s="36"/>
      <c r="M86" s="36">
        <v>286980</v>
      </c>
      <c r="N86" s="36"/>
      <c r="O86" s="36">
        <v>1791790</v>
      </c>
      <c r="P86" s="36"/>
      <c r="Q86" s="36">
        <v>0</v>
      </c>
      <c r="R86" s="36"/>
      <c r="S86" s="36">
        <v>0</v>
      </c>
      <c r="T86" s="36"/>
      <c r="U86" s="36">
        <v>0</v>
      </c>
      <c r="V86" s="36"/>
      <c r="W86" s="36">
        <v>25424314</v>
      </c>
      <c r="X86" s="36"/>
      <c r="Y86" s="39">
        <f t="shared" si="6"/>
        <v>46633524</v>
      </c>
      <c r="Z86" s="36"/>
      <c r="AA86" s="36">
        <v>500000</v>
      </c>
      <c r="AB86" s="36"/>
      <c r="AC86" s="36">
        <v>0</v>
      </c>
      <c r="AD86" s="19" t="s">
        <v>194</v>
      </c>
      <c r="AF86" s="19" t="s">
        <v>195</v>
      </c>
      <c r="AG86" s="36"/>
      <c r="AH86" s="36">
        <v>0</v>
      </c>
      <c r="AI86" s="36"/>
      <c r="AJ86" s="36"/>
      <c r="AK86" s="36"/>
      <c r="AL86" s="36">
        <v>0</v>
      </c>
      <c r="AM86" s="36"/>
      <c r="AN86" s="36">
        <v>0</v>
      </c>
      <c r="AO86" s="36"/>
      <c r="AP86" s="36"/>
      <c r="AQ86" s="36"/>
      <c r="AR86" s="36">
        <v>0</v>
      </c>
      <c r="AS86" s="36"/>
      <c r="AT86" s="36">
        <v>0</v>
      </c>
      <c r="AU86" s="36"/>
      <c r="AV86" s="39">
        <f t="shared" si="7"/>
        <v>500000</v>
      </c>
      <c r="AW86" s="36"/>
      <c r="AX86" s="39">
        <f t="shared" si="5"/>
        <v>47133524</v>
      </c>
    </row>
    <row r="87" spans="1:52" s="19" customFormat="1" ht="12">
      <c r="A87" s="19" t="s">
        <v>196</v>
      </c>
      <c r="C87" s="19" t="s">
        <v>197</v>
      </c>
      <c r="E87" s="19">
        <v>47407</v>
      </c>
      <c r="G87" s="36">
        <v>0</v>
      </c>
      <c r="H87" s="36"/>
      <c r="I87" s="36"/>
      <c r="J87" s="36"/>
      <c r="K87" s="36">
        <v>990250</v>
      </c>
      <c r="L87" s="36"/>
      <c r="M87" s="36">
        <v>8614</v>
      </c>
      <c r="N87" s="36"/>
      <c r="O87" s="36">
        <v>1940736</v>
      </c>
      <c r="P87" s="36"/>
      <c r="Q87" s="36">
        <v>0</v>
      </c>
      <c r="R87" s="36"/>
      <c r="S87" s="36">
        <v>0</v>
      </c>
      <c r="T87" s="36"/>
      <c r="U87" s="36">
        <v>0</v>
      </c>
      <c r="V87" s="36"/>
      <c r="W87" s="36">
        <v>2404300</v>
      </c>
      <c r="X87" s="36"/>
      <c r="Y87" s="39">
        <f t="shared" si="6"/>
        <v>5343900</v>
      </c>
      <c r="Z87" s="36"/>
      <c r="AA87" s="36">
        <v>0</v>
      </c>
      <c r="AB87" s="36"/>
      <c r="AC87" s="36">
        <v>0</v>
      </c>
      <c r="AD87" s="19" t="s">
        <v>196</v>
      </c>
      <c r="AF87" s="19" t="s">
        <v>197</v>
      </c>
      <c r="AG87" s="36"/>
      <c r="AH87" s="36">
        <v>0</v>
      </c>
      <c r="AI87" s="36"/>
      <c r="AJ87" s="36"/>
      <c r="AK87" s="36"/>
      <c r="AL87" s="36">
        <v>0</v>
      </c>
      <c r="AM87" s="36"/>
      <c r="AN87" s="36">
        <v>0</v>
      </c>
      <c r="AO87" s="36"/>
      <c r="AP87" s="36"/>
      <c r="AQ87" s="36"/>
      <c r="AR87" s="36">
        <v>0</v>
      </c>
      <c r="AS87" s="36"/>
      <c r="AT87" s="36">
        <v>0</v>
      </c>
      <c r="AU87" s="36"/>
      <c r="AV87" s="39">
        <f t="shared" si="7"/>
        <v>0</v>
      </c>
      <c r="AW87" s="36"/>
      <c r="AX87" s="39">
        <f t="shared" si="5"/>
        <v>5343900</v>
      </c>
    </row>
    <row r="88" spans="1:52" s="19" customFormat="1" ht="12">
      <c r="A88" s="19" t="s">
        <v>198</v>
      </c>
      <c r="C88" s="19" t="s">
        <v>23</v>
      </c>
      <c r="E88" s="19">
        <v>47480</v>
      </c>
      <c r="G88" s="36">
        <v>0</v>
      </c>
      <c r="H88" s="36"/>
      <c r="I88" s="36"/>
      <c r="J88" s="36"/>
      <c r="K88" s="36">
        <v>1440164</v>
      </c>
      <c r="L88" s="36"/>
      <c r="M88" s="36">
        <v>8860</v>
      </c>
      <c r="N88" s="36"/>
      <c r="O88" s="36">
        <v>1048436</v>
      </c>
      <c r="P88" s="36"/>
      <c r="Q88" s="36">
        <v>0</v>
      </c>
      <c r="R88" s="36"/>
      <c r="S88" s="36">
        <v>0</v>
      </c>
      <c r="T88" s="36"/>
      <c r="U88" s="36">
        <v>0</v>
      </c>
      <c r="V88" s="36"/>
      <c r="W88" s="36">
        <v>122143</v>
      </c>
      <c r="X88" s="36"/>
      <c r="Y88" s="39">
        <f t="shared" si="6"/>
        <v>2619603</v>
      </c>
      <c r="Z88" s="36"/>
      <c r="AA88" s="36">
        <v>0</v>
      </c>
      <c r="AB88" s="36"/>
      <c r="AC88" s="36">
        <v>0</v>
      </c>
      <c r="AD88" s="19" t="s">
        <v>198</v>
      </c>
      <c r="AF88" s="19" t="s">
        <v>23</v>
      </c>
      <c r="AG88" s="36"/>
      <c r="AH88" s="36">
        <v>0</v>
      </c>
      <c r="AI88" s="36"/>
      <c r="AJ88" s="36"/>
      <c r="AK88" s="36"/>
      <c r="AL88" s="36">
        <v>0</v>
      </c>
      <c r="AM88" s="36"/>
      <c r="AN88" s="36">
        <v>0</v>
      </c>
      <c r="AO88" s="36"/>
      <c r="AP88" s="36"/>
      <c r="AQ88" s="36"/>
      <c r="AR88" s="36">
        <v>0</v>
      </c>
      <c r="AS88" s="36"/>
      <c r="AT88" s="36">
        <v>0</v>
      </c>
      <c r="AU88" s="36"/>
      <c r="AV88" s="39">
        <f t="shared" si="7"/>
        <v>0</v>
      </c>
      <c r="AW88" s="36"/>
      <c r="AX88" s="39">
        <f t="shared" si="5"/>
        <v>2619603</v>
      </c>
    </row>
    <row r="89" spans="1:52" s="19" customFormat="1" ht="12">
      <c r="A89" s="19" t="s">
        <v>199</v>
      </c>
      <c r="C89" s="19" t="s">
        <v>200</v>
      </c>
      <c r="E89" s="19">
        <v>47779</v>
      </c>
      <c r="G89" s="36">
        <v>0</v>
      </c>
      <c r="H89" s="36"/>
      <c r="I89" s="36"/>
      <c r="J89" s="36"/>
      <c r="K89" s="36">
        <v>1490395</v>
      </c>
      <c r="L89" s="36"/>
      <c r="M89" s="36">
        <v>18712</v>
      </c>
      <c r="N89" s="36"/>
      <c r="O89" s="36">
        <v>720367</v>
      </c>
      <c r="P89" s="36"/>
      <c r="Q89" s="36">
        <v>0</v>
      </c>
      <c r="R89" s="36"/>
      <c r="S89" s="36">
        <v>0</v>
      </c>
      <c r="T89" s="36"/>
      <c r="U89" s="36">
        <v>0</v>
      </c>
      <c r="V89" s="36"/>
      <c r="W89" s="36">
        <v>4991103</v>
      </c>
      <c r="X89" s="36"/>
      <c r="Y89" s="39">
        <f t="shared" si="6"/>
        <v>7220577</v>
      </c>
      <c r="Z89" s="36"/>
      <c r="AA89" s="36">
        <v>0</v>
      </c>
      <c r="AB89" s="36"/>
      <c r="AC89" s="36">
        <v>0</v>
      </c>
      <c r="AD89" s="19" t="s">
        <v>199</v>
      </c>
      <c r="AF89" s="19" t="s">
        <v>200</v>
      </c>
      <c r="AG89" s="36"/>
      <c r="AH89" s="36">
        <v>0</v>
      </c>
      <c r="AI89" s="36"/>
      <c r="AJ89" s="36"/>
      <c r="AK89" s="36"/>
      <c r="AL89" s="36">
        <v>0</v>
      </c>
      <c r="AM89" s="36"/>
      <c r="AN89" s="36">
        <v>0</v>
      </c>
      <c r="AO89" s="36"/>
      <c r="AP89" s="36"/>
      <c r="AQ89" s="36"/>
      <c r="AR89" s="36">
        <v>0</v>
      </c>
      <c r="AS89" s="36"/>
      <c r="AT89" s="36">
        <v>0</v>
      </c>
      <c r="AU89" s="36"/>
      <c r="AV89" s="39">
        <f t="shared" si="7"/>
        <v>0</v>
      </c>
      <c r="AW89" s="36"/>
      <c r="AX89" s="39">
        <f t="shared" si="5"/>
        <v>7220577</v>
      </c>
    </row>
    <row r="90" spans="1:52" s="19" customFormat="1" ht="12">
      <c r="A90" s="19" t="s">
        <v>201</v>
      </c>
      <c r="C90" s="19" t="s">
        <v>202</v>
      </c>
      <c r="E90" s="19">
        <v>47811</v>
      </c>
      <c r="G90" s="36">
        <v>0</v>
      </c>
      <c r="H90" s="36"/>
      <c r="I90" s="36"/>
      <c r="J90" s="36"/>
      <c r="K90" s="36">
        <v>1291496</v>
      </c>
      <c r="L90" s="36"/>
      <c r="M90" s="36">
        <v>18038</v>
      </c>
      <c r="N90" s="36"/>
      <c r="O90" s="36">
        <v>310296</v>
      </c>
      <c r="P90" s="36"/>
      <c r="Q90" s="36">
        <v>7070</v>
      </c>
      <c r="R90" s="36"/>
      <c r="S90" s="36">
        <v>0</v>
      </c>
      <c r="T90" s="36"/>
      <c r="U90" s="36">
        <v>71372</v>
      </c>
      <c r="V90" s="36"/>
      <c r="W90" s="36">
        <v>4120499</v>
      </c>
      <c r="X90" s="36"/>
      <c r="Y90" s="39">
        <f t="shared" si="6"/>
        <v>5818771</v>
      </c>
      <c r="Z90" s="36"/>
      <c r="AA90" s="36">
        <v>0</v>
      </c>
      <c r="AB90" s="36"/>
      <c r="AC90" s="36">
        <v>0</v>
      </c>
      <c r="AD90" s="19" t="s">
        <v>201</v>
      </c>
      <c r="AF90" s="19" t="s">
        <v>202</v>
      </c>
      <c r="AG90" s="36"/>
      <c r="AH90" s="36">
        <v>0</v>
      </c>
      <c r="AI90" s="36"/>
      <c r="AJ90" s="36"/>
      <c r="AK90" s="36"/>
      <c r="AL90" s="36">
        <v>0</v>
      </c>
      <c r="AM90" s="36"/>
      <c r="AN90" s="36">
        <v>0</v>
      </c>
      <c r="AO90" s="36"/>
      <c r="AP90" s="36"/>
      <c r="AQ90" s="36"/>
      <c r="AR90" s="36">
        <v>0</v>
      </c>
      <c r="AS90" s="36"/>
      <c r="AT90" s="36">
        <v>0</v>
      </c>
      <c r="AU90" s="36"/>
      <c r="AV90" s="39">
        <f t="shared" si="7"/>
        <v>0</v>
      </c>
      <c r="AW90" s="36"/>
      <c r="AX90" s="39">
        <f t="shared" si="5"/>
        <v>5818771</v>
      </c>
    </row>
    <row r="91" spans="1:52" s="19" customFormat="1" ht="12">
      <c r="A91" s="19" t="s">
        <v>203</v>
      </c>
      <c r="C91" s="19" t="s">
        <v>158</v>
      </c>
      <c r="E91" s="19">
        <v>47860</v>
      </c>
      <c r="G91" s="36">
        <v>0</v>
      </c>
      <c r="H91" s="36"/>
      <c r="I91" s="36"/>
      <c r="J91" s="36"/>
      <c r="K91" s="36">
        <v>4070268</v>
      </c>
      <c r="L91" s="36"/>
      <c r="M91" s="36">
        <v>5787</v>
      </c>
      <c r="N91" s="36"/>
      <c r="O91" s="36">
        <v>2667625</v>
      </c>
      <c r="P91" s="36"/>
      <c r="Q91" s="36">
        <v>22966</v>
      </c>
      <c r="R91" s="36"/>
      <c r="S91" s="36">
        <v>0</v>
      </c>
      <c r="T91" s="36"/>
      <c r="U91" s="36">
        <v>0</v>
      </c>
      <c r="V91" s="36"/>
      <c r="W91" s="36">
        <f>5731583+24128+65712</f>
        <v>5821423</v>
      </c>
      <c r="X91" s="36"/>
      <c r="Y91" s="39">
        <f t="shared" si="6"/>
        <v>12588069</v>
      </c>
      <c r="Z91" s="36"/>
      <c r="AA91" s="36">
        <v>1939</v>
      </c>
      <c r="AB91" s="36"/>
      <c r="AC91" s="36">
        <v>0</v>
      </c>
      <c r="AD91" s="19" t="s">
        <v>203</v>
      </c>
      <c r="AF91" s="19" t="s">
        <v>158</v>
      </c>
      <c r="AG91" s="36"/>
      <c r="AH91" s="36">
        <v>0</v>
      </c>
      <c r="AI91" s="36"/>
      <c r="AJ91" s="36"/>
      <c r="AK91" s="36"/>
      <c r="AL91" s="36">
        <v>0</v>
      </c>
      <c r="AM91" s="36"/>
      <c r="AN91" s="36">
        <v>0</v>
      </c>
      <c r="AO91" s="36"/>
      <c r="AP91" s="36"/>
      <c r="AQ91" s="36"/>
      <c r="AR91" s="36">
        <v>0</v>
      </c>
      <c r="AS91" s="36"/>
      <c r="AT91" s="36">
        <v>0</v>
      </c>
      <c r="AU91" s="36"/>
      <c r="AV91" s="39">
        <f t="shared" si="7"/>
        <v>1939</v>
      </c>
      <c r="AW91" s="36"/>
      <c r="AX91" s="39">
        <f t="shared" si="5"/>
        <v>12590008</v>
      </c>
      <c r="AZ91" s="60"/>
    </row>
    <row r="92" spans="1:52" s="19" customFormat="1" ht="12">
      <c r="A92" s="19" t="s">
        <v>204</v>
      </c>
      <c r="C92" s="19" t="s">
        <v>205</v>
      </c>
      <c r="E92" s="19">
        <v>47910</v>
      </c>
      <c r="G92" s="36">
        <v>0</v>
      </c>
      <c r="H92" s="36"/>
      <c r="I92" s="36"/>
      <c r="J92" s="36"/>
      <c r="K92" s="36">
        <v>490487</v>
      </c>
      <c r="L92" s="36"/>
      <c r="M92" s="36">
        <v>1190</v>
      </c>
      <c r="N92" s="36"/>
      <c r="O92" s="36">
        <v>0</v>
      </c>
      <c r="P92" s="36"/>
      <c r="Q92" s="36">
        <v>0</v>
      </c>
      <c r="R92" s="36"/>
      <c r="S92" s="36">
        <v>0</v>
      </c>
      <c r="T92" s="36"/>
      <c r="U92" s="36">
        <v>0</v>
      </c>
      <c r="V92" s="36"/>
      <c r="W92" s="36">
        <f>701925+563854+1575+28040</f>
        <v>1295394</v>
      </c>
      <c r="X92" s="36"/>
      <c r="Y92" s="39">
        <f t="shared" si="6"/>
        <v>1787071</v>
      </c>
      <c r="Z92" s="36"/>
      <c r="AA92" s="36">
        <v>10600</v>
      </c>
      <c r="AB92" s="36"/>
      <c r="AC92" s="36">
        <v>0</v>
      </c>
      <c r="AD92" s="19" t="s">
        <v>204</v>
      </c>
      <c r="AF92" s="19" t="s">
        <v>205</v>
      </c>
      <c r="AG92" s="36"/>
      <c r="AH92" s="36">
        <v>0</v>
      </c>
      <c r="AI92" s="36"/>
      <c r="AJ92" s="36"/>
      <c r="AK92" s="36"/>
      <c r="AL92" s="36">
        <v>0</v>
      </c>
      <c r="AM92" s="36"/>
      <c r="AN92" s="36">
        <v>0</v>
      </c>
      <c r="AO92" s="36"/>
      <c r="AP92" s="36"/>
      <c r="AQ92" s="36"/>
      <c r="AR92" s="36">
        <v>0</v>
      </c>
      <c r="AS92" s="36"/>
      <c r="AT92" s="36">
        <v>0</v>
      </c>
      <c r="AU92" s="36"/>
      <c r="AV92" s="39">
        <f t="shared" si="7"/>
        <v>10600</v>
      </c>
      <c r="AW92" s="36"/>
      <c r="AX92" s="39">
        <f t="shared" si="5"/>
        <v>1797671</v>
      </c>
    </row>
    <row r="93" spans="1:52" s="19" customFormat="1" ht="12">
      <c r="A93" s="13" t="s">
        <v>206</v>
      </c>
      <c r="B93" s="13"/>
      <c r="C93" s="13" t="s">
        <v>207</v>
      </c>
      <c r="G93" s="36">
        <v>0</v>
      </c>
      <c r="H93" s="36"/>
      <c r="I93" s="36"/>
      <c r="J93" s="36"/>
      <c r="K93" s="36">
        <v>2656122</v>
      </c>
      <c r="L93" s="36"/>
      <c r="M93" s="36">
        <v>12367</v>
      </c>
      <c r="N93" s="36"/>
      <c r="O93" s="36">
        <v>400738</v>
      </c>
      <c r="P93" s="36"/>
      <c r="Q93" s="36">
        <v>0</v>
      </c>
      <c r="R93" s="36"/>
      <c r="S93" s="36">
        <v>0</v>
      </c>
      <c r="T93" s="36"/>
      <c r="U93" s="36">
        <v>98763</v>
      </c>
      <c r="V93" s="36"/>
      <c r="W93" s="36">
        <f>46251+250+7545207</f>
        <v>7591708</v>
      </c>
      <c r="X93" s="36"/>
      <c r="Y93" s="39">
        <f t="shared" si="6"/>
        <v>10759698</v>
      </c>
      <c r="Z93" s="36"/>
      <c r="AA93" s="36">
        <v>35000</v>
      </c>
      <c r="AB93" s="36"/>
      <c r="AC93" s="36">
        <v>0</v>
      </c>
      <c r="AD93" s="13" t="s">
        <v>206</v>
      </c>
      <c r="AE93" s="13"/>
      <c r="AF93" s="13" t="s">
        <v>207</v>
      </c>
      <c r="AG93" s="36"/>
      <c r="AH93" s="36">
        <v>0</v>
      </c>
      <c r="AI93" s="36"/>
      <c r="AJ93" s="36"/>
      <c r="AK93" s="36"/>
      <c r="AL93" s="36">
        <v>8263</v>
      </c>
      <c r="AM93" s="36"/>
      <c r="AN93" s="36">
        <v>0</v>
      </c>
      <c r="AO93" s="36"/>
      <c r="AP93" s="36"/>
      <c r="AQ93" s="36"/>
      <c r="AR93" s="36">
        <v>0</v>
      </c>
      <c r="AS93" s="36"/>
      <c r="AT93" s="36">
        <v>0</v>
      </c>
      <c r="AU93" s="36"/>
      <c r="AV93" s="39">
        <f>SUM(AA93:AT93)</f>
        <v>43263</v>
      </c>
      <c r="AW93" s="36"/>
      <c r="AX93" s="39">
        <f t="shared" si="5"/>
        <v>10802961</v>
      </c>
    </row>
    <row r="94" spans="1:52" s="19" customFormat="1" ht="12">
      <c r="A94" s="19" t="s">
        <v>208</v>
      </c>
      <c r="C94" s="19" t="s">
        <v>209</v>
      </c>
      <c r="E94" s="19">
        <v>48058</v>
      </c>
      <c r="G94" s="36">
        <v>0</v>
      </c>
      <c r="H94" s="36"/>
      <c r="I94" s="36"/>
      <c r="J94" s="36"/>
      <c r="K94" s="36">
        <v>668521</v>
      </c>
      <c r="L94" s="36"/>
      <c r="M94" s="36">
        <v>2945</v>
      </c>
      <c r="N94" s="36"/>
      <c r="O94" s="36">
        <v>1757483</v>
      </c>
      <c r="P94" s="36"/>
      <c r="Q94" s="36">
        <v>0</v>
      </c>
      <c r="R94" s="36"/>
      <c r="S94" s="36">
        <v>0</v>
      </c>
      <c r="T94" s="36"/>
      <c r="U94" s="36">
        <v>1158</v>
      </c>
      <c r="V94" s="36"/>
      <c r="W94" s="36">
        <f>655407+182782</f>
        <v>838189</v>
      </c>
      <c r="X94" s="36"/>
      <c r="Y94" s="39">
        <f t="shared" si="6"/>
        <v>3268296</v>
      </c>
      <c r="Z94" s="36"/>
      <c r="AA94" s="36">
        <v>0</v>
      </c>
      <c r="AB94" s="36"/>
      <c r="AC94" s="36">
        <v>0</v>
      </c>
      <c r="AD94" s="19" t="s">
        <v>208</v>
      </c>
      <c r="AF94" s="19" t="s">
        <v>209</v>
      </c>
      <c r="AG94" s="36"/>
      <c r="AH94" s="36">
        <v>0</v>
      </c>
      <c r="AI94" s="36"/>
      <c r="AJ94" s="36"/>
      <c r="AK94" s="36"/>
      <c r="AL94" s="36">
        <v>0</v>
      </c>
      <c r="AM94" s="36"/>
      <c r="AN94" s="36">
        <v>0</v>
      </c>
      <c r="AO94" s="36"/>
      <c r="AP94" s="36"/>
      <c r="AQ94" s="36"/>
      <c r="AR94" s="36">
        <v>0</v>
      </c>
      <c r="AS94" s="36"/>
      <c r="AT94" s="36">
        <v>0</v>
      </c>
      <c r="AU94" s="36"/>
      <c r="AV94" s="39">
        <f t="shared" si="7"/>
        <v>0</v>
      </c>
      <c r="AW94" s="36"/>
      <c r="AX94" s="39">
        <f t="shared" si="5"/>
        <v>3268296</v>
      </c>
    </row>
    <row r="95" spans="1:52" s="19" customFormat="1" ht="12">
      <c r="A95" s="19" t="s">
        <v>210</v>
      </c>
      <c r="C95" s="19" t="s">
        <v>154</v>
      </c>
      <c r="E95" s="19">
        <v>48108</v>
      </c>
      <c r="G95" s="36">
        <v>0</v>
      </c>
      <c r="H95" s="36"/>
      <c r="I95" s="36"/>
      <c r="J95" s="36"/>
      <c r="K95" s="36">
        <v>4935069</v>
      </c>
      <c r="L95" s="36"/>
      <c r="M95" s="36">
        <v>153351</v>
      </c>
      <c r="N95" s="36"/>
      <c r="O95" s="36">
        <v>3518075</v>
      </c>
      <c r="P95" s="36"/>
      <c r="Q95" s="36">
        <v>0</v>
      </c>
      <c r="R95" s="36"/>
      <c r="S95" s="36">
        <v>0</v>
      </c>
      <c r="T95" s="36"/>
      <c r="U95" s="36">
        <v>0</v>
      </c>
      <c r="V95" s="36"/>
      <c r="W95" s="36">
        <f>1840336+182156</f>
        <v>2022492</v>
      </c>
      <c r="X95" s="36"/>
      <c r="Y95" s="39">
        <f t="shared" si="6"/>
        <v>10628987</v>
      </c>
      <c r="Z95" s="36"/>
      <c r="AA95" s="36">
        <v>200927</v>
      </c>
      <c r="AB95" s="36"/>
      <c r="AC95" s="36">
        <v>0</v>
      </c>
      <c r="AD95" s="19" t="s">
        <v>210</v>
      </c>
      <c r="AF95" s="19" t="s">
        <v>154</v>
      </c>
      <c r="AG95" s="36"/>
      <c r="AH95" s="36">
        <v>0</v>
      </c>
      <c r="AI95" s="36"/>
      <c r="AJ95" s="36"/>
      <c r="AK95" s="36"/>
      <c r="AL95" s="36">
        <v>0</v>
      </c>
      <c r="AM95" s="36"/>
      <c r="AN95" s="36">
        <v>0</v>
      </c>
      <c r="AO95" s="36"/>
      <c r="AP95" s="36"/>
      <c r="AQ95" s="36"/>
      <c r="AR95" s="36">
        <v>0</v>
      </c>
      <c r="AS95" s="36"/>
      <c r="AT95" s="36">
        <v>0</v>
      </c>
      <c r="AU95" s="36"/>
      <c r="AV95" s="39">
        <f t="shared" si="7"/>
        <v>200927</v>
      </c>
      <c r="AW95" s="36"/>
      <c r="AX95" s="39">
        <f t="shared" si="5"/>
        <v>10829914</v>
      </c>
    </row>
    <row r="96" spans="1:52" s="19" customFormat="1" ht="12">
      <c r="A96" s="19" t="s">
        <v>211</v>
      </c>
      <c r="C96" s="19" t="s">
        <v>212</v>
      </c>
      <c r="E96" s="19">
        <v>48199</v>
      </c>
      <c r="G96" s="36">
        <v>0</v>
      </c>
      <c r="H96" s="36"/>
      <c r="I96" s="36"/>
      <c r="J96" s="36"/>
      <c r="K96" s="36">
        <f>6330195+2825092</f>
        <v>9155287</v>
      </c>
      <c r="L96" s="36"/>
      <c r="M96" s="36">
        <v>119606</v>
      </c>
      <c r="N96" s="36"/>
      <c r="O96" s="36">
        <v>8892247</v>
      </c>
      <c r="P96" s="36"/>
      <c r="Q96" s="36">
        <v>3831</v>
      </c>
      <c r="R96" s="36"/>
      <c r="S96" s="36">
        <v>0</v>
      </c>
      <c r="T96" s="36"/>
      <c r="U96" s="36">
        <v>94909</v>
      </c>
      <c r="V96" s="36"/>
      <c r="W96" s="36">
        <f>219409+404397+9023883+5290+78542+97762</f>
        <v>9829283</v>
      </c>
      <c r="X96" s="36"/>
      <c r="Y96" s="39">
        <f t="shared" si="6"/>
        <v>28095163</v>
      </c>
      <c r="Z96" s="36"/>
      <c r="AA96" s="36">
        <v>2274066</v>
      </c>
      <c r="AB96" s="36"/>
      <c r="AC96" s="36">
        <v>0</v>
      </c>
      <c r="AD96" s="19" t="s">
        <v>211</v>
      </c>
      <c r="AF96" s="19" t="s">
        <v>212</v>
      </c>
      <c r="AG96" s="36"/>
      <c r="AH96" s="36">
        <v>0</v>
      </c>
      <c r="AI96" s="36"/>
      <c r="AJ96" s="36"/>
      <c r="AK96" s="36"/>
      <c r="AL96" s="36">
        <v>0</v>
      </c>
      <c r="AM96" s="36"/>
      <c r="AN96" s="36">
        <v>0</v>
      </c>
      <c r="AO96" s="36"/>
      <c r="AP96" s="36"/>
      <c r="AQ96" s="36"/>
      <c r="AR96" s="36">
        <v>0</v>
      </c>
      <c r="AS96" s="36"/>
      <c r="AT96" s="36">
        <v>0</v>
      </c>
      <c r="AU96" s="36"/>
      <c r="AV96" s="39">
        <f t="shared" si="7"/>
        <v>2274066</v>
      </c>
      <c r="AW96" s="36"/>
      <c r="AX96" s="39">
        <f t="shared" si="5"/>
        <v>30369229</v>
      </c>
    </row>
    <row r="97" spans="1:52" s="19" customFormat="1" ht="12">
      <c r="A97" s="19" t="s">
        <v>166</v>
      </c>
      <c r="C97" s="19" t="s">
        <v>167</v>
      </c>
      <c r="E97" s="19">
        <v>137364</v>
      </c>
      <c r="G97" s="36">
        <v>0</v>
      </c>
      <c r="H97" s="36"/>
      <c r="I97" s="36"/>
      <c r="J97" s="36"/>
      <c r="K97" s="36">
        <f>39478+1638300+291832</f>
        <v>1969610</v>
      </c>
      <c r="L97" s="36"/>
      <c r="M97" s="36">
        <v>45308</v>
      </c>
      <c r="N97" s="36"/>
      <c r="O97" s="36">
        <v>7957235</v>
      </c>
      <c r="P97" s="36"/>
      <c r="Q97" s="36">
        <v>1304</v>
      </c>
      <c r="R97" s="36"/>
      <c r="S97" s="36">
        <v>0</v>
      </c>
      <c r="T97" s="36"/>
      <c r="U97" s="36">
        <v>0</v>
      </c>
      <c r="V97" s="36"/>
      <c r="W97" s="36">
        <f>223746+1357+34224+81725</f>
        <v>341052</v>
      </c>
      <c r="X97" s="36"/>
      <c r="Y97" s="39">
        <f t="shared" si="6"/>
        <v>10314509</v>
      </c>
      <c r="Z97" s="36"/>
      <c r="AA97" s="36">
        <v>0</v>
      </c>
      <c r="AB97" s="36"/>
      <c r="AC97" s="36">
        <v>0</v>
      </c>
      <c r="AD97" s="19" t="s">
        <v>166</v>
      </c>
      <c r="AF97" s="19" t="s">
        <v>167</v>
      </c>
      <c r="AG97" s="36"/>
      <c r="AH97" s="36">
        <v>0</v>
      </c>
      <c r="AI97" s="36"/>
      <c r="AJ97" s="36"/>
      <c r="AK97" s="36"/>
      <c r="AL97" s="36">
        <v>108952</v>
      </c>
      <c r="AM97" s="36"/>
      <c r="AN97" s="36">
        <v>0</v>
      </c>
      <c r="AO97" s="36"/>
      <c r="AP97" s="36"/>
      <c r="AQ97" s="36"/>
      <c r="AR97" s="36">
        <v>0</v>
      </c>
      <c r="AS97" s="36"/>
      <c r="AT97" s="36">
        <v>0</v>
      </c>
      <c r="AU97" s="36"/>
      <c r="AV97" s="39">
        <f t="shared" si="7"/>
        <v>108952</v>
      </c>
      <c r="AW97" s="36"/>
      <c r="AX97" s="39">
        <f t="shared" si="5"/>
        <v>10423461</v>
      </c>
      <c r="AZ97" s="95"/>
    </row>
    <row r="98" spans="1:52" s="19" customFormat="1" ht="12">
      <c r="A98" s="19" t="s">
        <v>213</v>
      </c>
      <c r="C98" s="19" t="s">
        <v>214</v>
      </c>
      <c r="E98" s="19">
        <v>48280</v>
      </c>
      <c r="G98" s="36">
        <v>0</v>
      </c>
      <c r="H98" s="36"/>
      <c r="I98" s="36"/>
      <c r="J98" s="36"/>
      <c r="K98" s="36">
        <f>147413+3517993+2815444</f>
        <v>6480850</v>
      </c>
      <c r="L98" s="36"/>
      <c r="M98" s="36">
        <v>183273</v>
      </c>
      <c r="N98" s="36"/>
      <c r="O98" s="36">
        <v>10207450</v>
      </c>
      <c r="P98" s="36"/>
      <c r="Q98" s="36">
        <v>0</v>
      </c>
      <c r="R98" s="36"/>
      <c r="S98" s="36">
        <v>0</v>
      </c>
      <c r="T98" s="36"/>
      <c r="U98" s="36">
        <v>0</v>
      </c>
      <c r="V98" s="36"/>
      <c r="W98" s="36">
        <f>5501423+3722873</f>
        <v>9224296</v>
      </c>
      <c r="X98" s="36"/>
      <c r="Y98" s="39">
        <f t="shared" si="6"/>
        <v>26095869</v>
      </c>
      <c r="Z98" s="36"/>
      <c r="AA98" s="36">
        <v>120000</v>
      </c>
      <c r="AB98" s="36"/>
      <c r="AC98" s="36">
        <v>0</v>
      </c>
      <c r="AD98" s="19" t="s">
        <v>213</v>
      </c>
      <c r="AF98" s="19" t="s">
        <v>214</v>
      </c>
      <c r="AG98" s="36"/>
      <c r="AH98" s="36">
        <v>0</v>
      </c>
      <c r="AI98" s="36"/>
      <c r="AJ98" s="36"/>
      <c r="AK98" s="36"/>
      <c r="AL98" s="36">
        <v>0</v>
      </c>
      <c r="AM98" s="36"/>
      <c r="AN98" s="36">
        <v>0</v>
      </c>
      <c r="AO98" s="36"/>
      <c r="AP98" s="36"/>
      <c r="AQ98" s="36"/>
      <c r="AR98" s="36">
        <v>0</v>
      </c>
      <c r="AS98" s="36"/>
      <c r="AT98" s="36">
        <v>0</v>
      </c>
      <c r="AU98" s="36"/>
      <c r="AV98" s="39">
        <f t="shared" si="7"/>
        <v>120000</v>
      </c>
      <c r="AW98" s="36"/>
      <c r="AX98" s="39">
        <f t="shared" si="5"/>
        <v>26215869</v>
      </c>
      <c r="AZ98" s="95"/>
    </row>
    <row r="99" spans="1:52" s="19" customFormat="1" ht="12">
      <c r="A99" s="19" t="s">
        <v>215</v>
      </c>
      <c r="C99" s="19" t="s">
        <v>216</v>
      </c>
      <c r="E99" s="19">
        <v>48454</v>
      </c>
      <c r="G99" s="36">
        <v>0</v>
      </c>
      <c r="H99" s="36"/>
      <c r="I99" s="36"/>
      <c r="J99" s="36"/>
      <c r="K99" s="36">
        <v>1581934</v>
      </c>
      <c r="L99" s="36"/>
      <c r="M99" s="36">
        <v>47058</v>
      </c>
      <c r="N99" s="36"/>
      <c r="O99" s="36">
        <v>148847</v>
      </c>
      <c r="P99" s="36"/>
      <c r="Q99" s="36">
        <v>0</v>
      </c>
      <c r="R99" s="36"/>
      <c r="S99" s="36">
        <v>0</v>
      </c>
      <c r="T99" s="36"/>
      <c r="U99" s="36">
        <v>510</v>
      </c>
      <c r="V99" s="36"/>
      <c r="W99" s="36">
        <f>21180+3622885</f>
        <v>3644065</v>
      </c>
      <c r="X99" s="36"/>
      <c r="Y99" s="39">
        <f t="shared" si="6"/>
        <v>5422414</v>
      </c>
      <c r="Z99" s="36"/>
      <c r="AA99" s="36">
        <v>0</v>
      </c>
      <c r="AB99" s="36"/>
      <c r="AC99" s="36">
        <v>0</v>
      </c>
      <c r="AD99" s="19" t="s">
        <v>215</v>
      </c>
      <c r="AF99" s="19" t="s">
        <v>216</v>
      </c>
      <c r="AG99" s="36"/>
      <c r="AH99" s="36">
        <v>0</v>
      </c>
      <c r="AI99" s="36"/>
      <c r="AJ99" s="36"/>
      <c r="AK99" s="36"/>
      <c r="AL99" s="36">
        <v>0</v>
      </c>
      <c r="AM99" s="36"/>
      <c r="AN99" s="36">
        <v>0</v>
      </c>
      <c r="AO99" s="36"/>
      <c r="AP99" s="36"/>
      <c r="AQ99" s="36"/>
      <c r="AR99" s="36">
        <v>0</v>
      </c>
      <c r="AS99" s="36"/>
      <c r="AT99" s="36">
        <v>0</v>
      </c>
      <c r="AU99" s="36"/>
      <c r="AV99" s="39">
        <f t="shared" si="7"/>
        <v>0</v>
      </c>
      <c r="AW99" s="36"/>
      <c r="AX99" s="39">
        <f t="shared" ref="AX99:AX127" si="8">+AV99+Y99</f>
        <v>5422414</v>
      </c>
    </row>
    <row r="100" spans="1:52" s="19" customFormat="1" ht="12" hidden="1" customHeight="1">
      <c r="A100" s="13" t="s">
        <v>419</v>
      </c>
      <c r="C100" s="19" t="s">
        <v>218</v>
      </c>
      <c r="E100" s="19">
        <v>48546</v>
      </c>
      <c r="G100" s="36"/>
      <c r="H100" s="36"/>
      <c r="I100" s="36"/>
      <c r="J100" s="36"/>
      <c r="K100" s="36">
        <v>2370395</v>
      </c>
      <c r="L100" s="36"/>
      <c r="M100" s="36">
        <v>9505</v>
      </c>
      <c r="N100" s="36"/>
      <c r="O100" s="36">
        <v>47181</v>
      </c>
      <c r="P100" s="36"/>
      <c r="Q100" s="36">
        <v>12698</v>
      </c>
      <c r="R100" s="36"/>
      <c r="S100" s="36"/>
      <c r="T100" s="36"/>
      <c r="U100" s="36"/>
      <c r="V100" s="36"/>
      <c r="W100" s="36">
        <f>3944033+16941</f>
        <v>3960974</v>
      </c>
      <c r="X100" s="36"/>
      <c r="Y100" s="39">
        <f t="shared" si="6"/>
        <v>6400753</v>
      </c>
      <c r="Z100" s="36"/>
      <c r="AA100" s="36"/>
      <c r="AB100" s="36"/>
      <c r="AC100" s="36">
        <v>0</v>
      </c>
      <c r="AD100" s="19" t="s">
        <v>217</v>
      </c>
      <c r="AF100" s="19" t="s">
        <v>218</v>
      </c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>
        <v>0</v>
      </c>
      <c r="AS100" s="36"/>
      <c r="AT100" s="36"/>
      <c r="AU100" s="36"/>
      <c r="AV100" s="39">
        <f t="shared" si="7"/>
        <v>0</v>
      </c>
      <c r="AW100" s="36"/>
      <c r="AX100" s="39">
        <f t="shared" si="8"/>
        <v>6400753</v>
      </c>
      <c r="AZ100" s="63" t="s">
        <v>373</v>
      </c>
    </row>
    <row r="101" spans="1:52" s="19" customFormat="1" ht="12">
      <c r="A101" s="19" t="s">
        <v>219</v>
      </c>
      <c r="C101" s="19" t="s">
        <v>220</v>
      </c>
      <c r="E101" s="19">
        <v>48603</v>
      </c>
      <c r="G101" s="36">
        <v>0</v>
      </c>
      <c r="H101" s="36"/>
      <c r="I101" s="36"/>
      <c r="J101" s="36"/>
      <c r="K101" s="36">
        <f>1254478+93377</f>
        <v>1347855</v>
      </c>
      <c r="L101" s="36"/>
      <c r="M101" s="36">
        <v>28153</v>
      </c>
      <c r="N101" s="36"/>
      <c r="O101" s="36">
        <v>9626586</v>
      </c>
      <c r="P101" s="36"/>
      <c r="Q101" s="36">
        <v>2128</v>
      </c>
      <c r="R101" s="36"/>
      <c r="S101" s="36">
        <v>0</v>
      </c>
      <c r="T101" s="36"/>
      <c r="U101" s="36">
        <v>500</v>
      </c>
      <c r="V101" s="36"/>
      <c r="W101" s="36">
        <f>135744+78171</f>
        <v>213915</v>
      </c>
      <c r="X101" s="36"/>
      <c r="Y101" s="39">
        <f t="shared" si="6"/>
        <v>11219137</v>
      </c>
      <c r="Z101" s="36"/>
      <c r="AA101" s="36">
        <v>0</v>
      </c>
      <c r="AB101" s="36"/>
      <c r="AC101" s="36">
        <v>0</v>
      </c>
      <c r="AD101" s="19" t="s">
        <v>219</v>
      </c>
      <c r="AF101" s="19" t="s">
        <v>220</v>
      </c>
      <c r="AG101" s="36"/>
      <c r="AH101" s="36">
        <v>0</v>
      </c>
      <c r="AI101" s="36"/>
      <c r="AJ101" s="36"/>
      <c r="AK101" s="36"/>
      <c r="AL101" s="36">
        <v>0</v>
      </c>
      <c r="AM101" s="36"/>
      <c r="AN101" s="36">
        <v>0</v>
      </c>
      <c r="AO101" s="36"/>
      <c r="AP101" s="36"/>
      <c r="AQ101" s="36"/>
      <c r="AR101" s="36">
        <v>0</v>
      </c>
      <c r="AS101" s="36"/>
      <c r="AT101" s="36">
        <v>0</v>
      </c>
      <c r="AU101" s="36"/>
      <c r="AV101" s="39">
        <f t="shared" si="7"/>
        <v>0</v>
      </c>
      <c r="AW101" s="36"/>
      <c r="AX101" s="39">
        <f t="shared" si="8"/>
        <v>11219137</v>
      </c>
    </row>
    <row r="102" spans="1:52" s="19" customFormat="1" ht="12" hidden="1">
      <c r="A102" s="2" t="s">
        <v>418</v>
      </c>
      <c r="B102" s="2"/>
      <c r="C102" s="2" t="s">
        <v>236</v>
      </c>
      <c r="G102" s="36"/>
      <c r="H102" s="36"/>
      <c r="I102" s="36"/>
      <c r="J102" s="36"/>
      <c r="K102" s="36">
        <v>6623325</v>
      </c>
      <c r="L102" s="36"/>
      <c r="M102" s="36">
        <v>148145</v>
      </c>
      <c r="N102" s="36"/>
      <c r="O102" s="36">
        <v>4050264</v>
      </c>
      <c r="P102" s="36"/>
      <c r="Q102" s="36"/>
      <c r="R102" s="36"/>
      <c r="S102" s="36"/>
      <c r="T102" s="36"/>
      <c r="U102" s="36"/>
      <c r="V102" s="36"/>
      <c r="W102" s="36">
        <f>16647+432162+6582889</f>
        <v>7031698</v>
      </c>
      <c r="X102" s="36"/>
      <c r="Y102" s="39">
        <f t="shared" si="6"/>
        <v>17853432</v>
      </c>
      <c r="Z102" s="36"/>
      <c r="AA102" s="36"/>
      <c r="AB102" s="36"/>
      <c r="AC102" s="36">
        <v>0</v>
      </c>
      <c r="AD102" s="2" t="s">
        <v>418</v>
      </c>
      <c r="AE102" s="2"/>
      <c r="AF102" s="2" t="s">
        <v>236</v>
      </c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>
        <v>0</v>
      </c>
      <c r="AS102" s="36"/>
      <c r="AT102" s="36">
        <v>0</v>
      </c>
      <c r="AU102" s="36"/>
      <c r="AV102" s="39">
        <f>SUM(AA102:AT102)</f>
        <v>0</v>
      </c>
      <c r="AW102" s="36"/>
      <c r="AX102" s="39">
        <f t="shared" si="8"/>
        <v>17853432</v>
      </c>
      <c r="AZ102" s="63" t="s">
        <v>373</v>
      </c>
    </row>
    <row r="103" spans="1:52" s="19" customFormat="1" ht="12">
      <c r="A103" s="19" t="s">
        <v>221</v>
      </c>
      <c r="C103" s="19" t="s">
        <v>222</v>
      </c>
      <c r="E103" s="19">
        <v>48660</v>
      </c>
      <c r="G103" s="36">
        <v>0</v>
      </c>
      <c r="H103" s="36"/>
      <c r="I103" s="36"/>
      <c r="J103" s="36"/>
      <c r="K103" s="36">
        <v>7317819</v>
      </c>
      <c r="L103" s="36"/>
      <c r="M103" s="36">
        <v>284843</v>
      </c>
      <c r="N103" s="36"/>
      <c r="O103" s="36">
        <v>18119858</v>
      </c>
      <c r="P103" s="36"/>
      <c r="Q103" s="36">
        <v>0</v>
      </c>
      <c r="R103" s="36"/>
      <c r="S103" s="36">
        <v>0</v>
      </c>
      <c r="T103" s="36"/>
      <c r="U103" s="36">
        <v>16169</v>
      </c>
      <c r="V103" s="36"/>
      <c r="W103" s="36">
        <f>54015+6299039+318144</f>
        <v>6671198</v>
      </c>
      <c r="X103" s="36"/>
      <c r="Y103" s="39">
        <f t="shared" si="6"/>
        <v>32409887</v>
      </c>
      <c r="Z103" s="36"/>
      <c r="AA103" s="36">
        <v>90699</v>
      </c>
      <c r="AB103" s="36"/>
      <c r="AC103" s="36">
        <v>0</v>
      </c>
      <c r="AD103" s="19" t="s">
        <v>221</v>
      </c>
      <c r="AF103" s="19" t="s">
        <v>222</v>
      </c>
      <c r="AG103" s="36"/>
      <c r="AH103" s="36">
        <v>0</v>
      </c>
      <c r="AI103" s="36"/>
      <c r="AJ103" s="36"/>
      <c r="AK103" s="36"/>
      <c r="AL103" s="36">
        <v>0</v>
      </c>
      <c r="AM103" s="36"/>
      <c r="AN103" s="36">
        <v>0</v>
      </c>
      <c r="AO103" s="36"/>
      <c r="AP103" s="36"/>
      <c r="AQ103" s="36"/>
      <c r="AR103" s="36">
        <v>0</v>
      </c>
      <c r="AS103" s="36"/>
      <c r="AT103" s="36">
        <v>0</v>
      </c>
      <c r="AU103" s="36"/>
      <c r="AV103" s="39">
        <f t="shared" si="7"/>
        <v>90699</v>
      </c>
      <c r="AW103" s="36"/>
      <c r="AX103" s="39">
        <f t="shared" si="8"/>
        <v>32500586</v>
      </c>
    </row>
    <row r="104" spans="1:52" s="19" customFormat="1" ht="12">
      <c r="A104" s="19" t="s">
        <v>223</v>
      </c>
      <c r="C104" s="19" t="s">
        <v>224</v>
      </c>
      <c r="E104" s="19">
        <v>125252</v>
      </c>
      <c r="G104" s="36">
        <v>0</v>
      </c>
      <c r="H104" s="36"/>
      <c r="I104" s="36"/>
      <c r="J104" s="36"/>
      <c r="K104" s="36">
        <f>3349362+1441822</f>
        <v>4791184</v>
      </c>
      <c r="L104" s="36"/>
      <c r="M104" s="36">
        <v>63248</v>
      </c>
      <c r="N104" s="36"/>
      <c r="O104" s="36">
        <v>3684887</v>
      </c>
      <c r="P104" s="36"/>
      <c r="Q104" s="36">
        <v>13215</v>
      </c>
      <c r="R104" s="36"/>
      <c r="S104" s="36">
        <v>0</v>
      </c>
      <c r="T104" s="36"/>
      <c r="U104" s="36">
        <v>0</v>
      </c>
      <c r="V104" s="36"/>
      <c r="W104" s="36">
        <f>347647+22710+3482899</f>
        <v>3853256</v>
      </c>
      <c r="X104" s="36"/>
      <c r="Y104" s="39">
        <f t="shared" si="6"/>
        <v>12405790</v>
      </c>
      <c r="Z104" s="36"/>
      <c r="AA104" s="36">
        <v>0</v>
      </c>
      <c r="AB104" s="36"/>
      <c r="AC104" s="36">
        <v>0</v>
      </c>
      <c r="AD104" s="19" t="s">
        <v>223</v>
      </c>
      <c r="AF104" s="19" t="s">
        <v>224</v>
      </c>
      <c r="AG104" s="36"/>
      <c r="AH104" s="36">
        <v>0</v>
      </c>
      <c r="AI104" s="36"/>
      <c r="AJ104" s="36"/>
      <c r="AK104" s="36"/>
      <c r="AL104" s="36">
        <v>0</v>
      </c>
      <c r="AM104" s="36"/>
      <c r="AN104" s="36">
        <v>0</v>
      </c>
      <c r="AO104" s="36"/>
      <c r="AP104" s="36"/>
      <c r="AQ104" s="36"/>
      <c r="AR104" s="36">
        <v>0</v>
      </c>
      <c r="AS104" s="36"/>
      <c r="AT104" s="36">
        <v>0</v>
      </c>
      <c r="AU104" s="36"/>
      <c r="AV104" s="39">
        <f t="shared" si="7"/>
        <v>0</v>
      </c>
      <c r="AW104" s="36"/>
      <c r="AX104" s="39">
        <f t="shared" si="8"/>
        <v>12405790</v>
      </c>
    </row>
    <row r="105" spans="1:52" s="19" customFormat="1" ht="12">
      <c r="A105" s="19" t="s">
        <v>374</v>
      </c>
      <c r="C105" s="19" t="s">
        <v>244</v>
      </c>
      <c r="E105" s="19">
        <v>123257</v>
      </c>
      <c r="G105" s="36">
        <v>0</v>
      </c>
      <c r="H105" s="36"/>
      <c r="I105" s="36"/>
      <c r="J105" s="36"/>
      <c r="K105" s="36">
        <f>4250674+1639255</f>
        <v>5889929</v>
      </c>
      <c r="L105" s="36"/>
      <c r="M105" s="36">
        <v>13905</v>
      </c>
      <c r="N105" s="36"/>
      <c r="O105" s="36">
        <v>6104965</v>
      </c>
      <c r="P105" s="36"/>
      <c r="Q105" s="36">
        <v>0</v>
      </c>
      <c r="R105" s="36"/>
      <c r="S105" s="36">
        <v>0</v>
      </c>
      <c r="T105" s="36"/>
      <c r="U105" s="36">
        <v>19916</v>
      </c>
      <c r="V105" s="36"/>
      <c r="W105" s="36">
        <f>50812+952962+3993847+2849</f>
        <v>5000470</v>
      </c>
      <c r="X105" s="36"/>
      <c r="Y105" s="39">
        <f t="shared" ref="Y105" si="9">SUM(G105:X105)</f>
        <v>17029185</v>
      </c>
      <c r="Z105" s="36"/>
      <c r="AA105" s="36">
        <v>8648</v>
      </c>
      <c r="AB105" s="36"/>
      <c r="AC105" s="36">
        <v>0</v>
      </c>
      <c r="AD105" s="19" t="s">
        <v>243</v>
      </c>
      <c r="AF105" s="19" t="s">
        <v>244</v>
      </c>
      <c r="AG105" s="36"/>
      <c r="AH105" s="36">
        <v>0</v>
      </c>
      <c r="AI105" s="36"/>
      <c r="AJ105" s="36"/>
      <c r="AK105" s="36"/>
      <c r="AL105" s="36">
        <v>0</v>
      </c>
      <c r="AM105" s="36"/>
      <c r="AN105" s="36">
        <v>0</v>
      </c>
      <c r="AO105" s="36"/>
      <c r="AP105" s="36"/>
      <c r="AQ105" s="36"/>
      <c r="AR105" s="36">
        <v>0</v>
      </c>
      <c r="AS105" s="36"/>
      <c r="AT105" s="36">
        <v>0</v>
      </c>
      <c r="AU105" s="36"/>
      <c r="AV105" s="39">
        <f t="shared" ref="AV105" si="10">SUM(AA105:AT105)</f>
        <v>8648</v>
      </c>
      <c r="AW105" s="36"/>
      <c r="AX105" s="39">
        <f t="shared" si="8"/>
        <v>17037833</v>
      </c>
    </row>
    <row r="106" spans="1:52" s="19" customFormat="1" ht="12" hidden="1">
      <c r="A106" s="19" t="s">
        <v>413</v>
      </c>
      <c r="C106" s="19" t="s">
        <v>183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9"/>
      <c r="Z106" s="36"/>
      <c r="AA106" s="36"/>
      <c r="AB106" s="36"/>
      <c r="AC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>
        <v>0</v>
      </c>
      <c r="AS106" s="36"/>
      <c r="AT106" s="36">
        <v>0</v>
      </c>
      <c r="AU106" s="36"/>
      <c r="AV106" s="39"/>
      <c r="AW106" s="36"/>
      <c r="AX106" s="39"/>
    </row>
    <row r="107" spans="1:52" s="19" customFormat="1" ht="12" hidden="1">
      <c r="A107" s="19" t="s">
        <v>187</v>
      </c>
      <c r="C107" s="2" t="s">
        <v>275</v>
      </c>
      <c r="E107" s="19">
        <v>124297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9">
        <f t="shared" si="6"/>
        <v>0</v>
      </c>
      <c r="Z107" s="36"/>
      <c r="AA107" s="36">
        <v>0</v>
      </c>
      <c r="AB107" s="36"/>
      <c r="AC107" s="36">
        <v>0</v>
      </c>
      <c r="AD107" s="19" t="s">
        <v>187</v>
      </c>
      <c r="AF107" s="2" t="s">
        <v>275</v>
      </c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>
        <v>0</v>
      </c>
      <c r="AS107" s="36"/>
      <c r="AT107" s="36">
        <v>0</v>
      </c>
      <c r="AU107" s="36"/>
      <c r="AV107" s="39">
        <f t="shared" si="7"/>
        <v>0</v>
      </c>
      <c r="AW107" s="36"/>
      <c r="AX107" s="39">
        <f t="shared" si="8"/>
        <v>0</v>
      </c>
    </row>
    <row r="108" spans="1:52" s="19" customFormat="1" ht="12" hidden="1">
      <c r="A108" s="19" t="s">
        <v>356</v>
      </c>
      <c r="C108" s="2" t="s">
        <v>363</v>
      </c>
      <c r="E108" s="19">
        <v>123521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9">
        <f t="shared" si="6"/>
        <v>0</v>
      </c>
      <c r="Z108" s="36"/>
      <c r="AA108" s="36">
        <v>0</v>
      </c>
      <c r="AB108" s="36"/>
      <c r="AC108" s="36">
        <v>0</v>
      </c>
      <c r="AD108" s="19" t="s">
        <v>356</v>
      </c>
      <c r="AF108" s="2" t="s">
        <v>363</v>
      </c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>
        <v>0</v>
      </c>
      <c r="AS108" s="36"/>
      <c r="AT108" s="36"/>
      <c r="AU108" s="36"/>
      <c r="AV108" s="39">
        <f t="shared" si="7"/>
        <v>0</v>
      </c>
      <c r="AW108" s="36"/>
      <c r="AX108" s="39">
        <f t="shared" si="8"/>
        <v>0</v>
      </c>
    </row>
    <row r="109" spans="1:52" s="19" customFormat="1" ht="12">
      <c r="A109" s="19" t="s">
        <v>225</v>
      </c>
      <c r="C109" s="19" t="s">
        <v>226</v>
      </c>
      <c r="E109" s="19">
        <v>125674</v>
      </c>
      <c r="G109" s="36">
        <v>0</v>
      </c>
      <c r="H109" s="36"/>
      <c r="I109" s="36"/>
      <c r="J109" s="36"/>
      <c r="K109" s="36">
        <v>1998537</v>
      </c>
      <c r="L109" s="36"/>
      <c r="M109" s="36">
        <v>9010</v>
      </c>
      <c r="N109" s="36"/>
      <c r="O109" s="36">
        <v>1119867</v>
      </c>
      <c r="P109" s="36"/>
      <c r="Q109" s="36">
        <v>0</v>
      </c>
      <c r="R109" s="36"/>
      <c r="S109" s="36">
        <v>0</v>
      </c>
      <c r="T109" s="36"/>
      <c r="U109" s="36">
        <v>1913</v>
      </c>
      <c r="V109" s="36"/>
      <c r="W109" s="36">
        <f>66393+3029036</f>
        <v>3095429</v>
      </c>
      <c r="X109" s="36"/>
      <c r="Y109" s="39">
        <f t="shared" si="6"/>
        <v>6224756</v>
      </c>
      <c r="Z109" s="36"/>
      <c r="AA109" s="36">
        <v>0</v>
      </c>
      <c r="AB109" s="36"/>
      <c r="AC109" s="36">
        <v>0</v>
      </c>
      <c r="AD109" s="19" t="s">
        <v>225</v>
      </c>
      <c r="AF109" s="19" t="s">
        <v>226</v>
      </c>
      <c r="AG109" s="36"/>
      <c r="AH109" s="36">
        <v>0</v>
      </c>
      <c r="AI109" s="36"/>
      <c r="AJ109" s="36"/>
      <c r="AK109" s="36"/>
      <c r="AL109" s="36">
        <v>0</v>
      </c>
      <c r="AM109" s="36"/>
      <c r="AN109" s="36">
        <v>0</v>
      </c>
      <c r="AO109" s="36"/>
      <c r="AP109" s="36"/>
      <c r="AQ109" s="36"/>
      <c r="AR109" s="36">
        <v>0</v>
      </c>
      <c r="AS109" s="36"/>
      <c r="AT109" s="36">
        <v>0</v>
      </c>
      <c r="AU109" s="36"/>
      <c r="AV109" s="39">
        <f t="shared" si="7"/>
        <v>0</v>
      </c>
      <c r="AW109" s="36"/>
      <c r="AX109" s="39">
        <f t="shared" si="8"/>
        <v>6224756</v>
      </c>
      <c r="AZ109" s="13"/>
    </row>
    <row r="110" spans="1:52" s="19" customFormat="1" ht="12">
      <c r="A110" s="19" t="s">
        <v>227</v>
      </c>
      <c r="C110" s="19" t="s">
        <v>228</v>
      </c>
      <c r="E110" s="19">
        <v>49072</v>
      </c>
      <c r="G110" s="36">
        <v>0</v>
      </c>
      <c r="H110" s="36"/>
      <c r="I110" s="36"/>
      <c r="J110" s="36"/>
      <c r="K110" s="36">
        <v>1033900</v>
      </c>
      <c r="L110" s="36"/>
      <c r="M110" s="36">
        <v>3073</v>
      </c>
      <c r="N110" s="36"/>
      <c r="O110" s="36">
        <f>2428104+78575</f>
        <v>2506679</v>
      </c>
      <c r="P110" s="36"/>
      <c r="Q110" s="36">
        <v>0</v>
      </c>
      <c r="R110" s="36"/>
      <c r="S110" s="36">
        <v>0</v>
      </c>
      <c r="T110" s="36"/>
      <c r="U110" s="36">
        <v>4449</v>
      </c>
      <c r="V110" s="36"/>
      <c r="W110" s="36">
        <f>84373+200+23121</f>
        <v>107694</v>
      </c>
      <c r="X110" s="36"/>
      <c r="Y110" s="39">
        <f t="shared" si="6"/>
        <v>3655795</v>
      </c>
      <c r="Z110" s="36"/>
      <c r="AA110" s="36">
        <v>0</v>
      </c>
      <c r="AB110" s="36"/>
      <c r="AC110" s="36">
        <v>0</v>
      </c>
      <c r="AD110" s="19" t="s">
        <v>227</v>
      </c>
      <c r="AF110" s="19" t="s">
        <v>228</v>
      </c>
      <c r="AG110" s="36"/>
      <c r="AH110" s="36">
        <v>0</v>
      </c>
      <c r="AI110" s="36"/>
      <c r="AJ110" s="36"/>
      <c r="AK110" s="36"/>
      <c r="AL110" s="36">
        <v>0</v>
      </c>
      <c r="AM110" s="36"/>
      <c r="AN110" s="36">
        <v>0</v>
      </c>
      <c r="AO110" s="36"/>
      <c r="AP110" s="36"/>
      <c r="AQ110" s="36"/>
      <c r="AR110" s="36">
        <v>0</v>
      </c>
      <c r="AS110" s="36"/>
      <c r="AT110" s="36">
        <v>0</v>
      </c>
      <c r="AU110" s="36"/>
      <c r="AV110" s="39">
        <f t="shared" si="7"/>
        <v>0</v>
      </c>
      <c r="AW110" s="36"/>
      <c r="AX110" s="39">
        <f t="shared" si="8"/>
        <v>3655795</v>
      </c>
    </row>
    <row r="111" spans="1:52" s="19" customFormat="1" ht="12">
      <c r="A111" s="19" t="s">
        <v>229</v>
      </c>
      <c r="C111" s="19" t="s">
        <v>230</v>
      </c>
      <c r="E111" s="19">
        <v>49163</v>
      </c>
      <c r="G111" s="36">
        <v>0</v>
      </c>
      <c r="H111" s="36"/>
      <c r="I111" s="36"/>
      <c r="J111" s="36"/>
      <c r="K111" s="36">
        <v>1448614</v>
      </c>
      <c r="L111" s="36"/>
      <c r="M111" s="36">
        <v>4781</v>
      </c>
      <c r="N111" s="36"/>
      <c r="O111" s="36">
        <v>4867999</v>
      </c>
      <c r="P111" s="36"/>
      <c r="Q111" s="36">
        <v>0</v>
      </c>
      <c r="R111" s="36"/>
      <c r="S111" s="36">
        <v>0</v>
      </c>
      <c r="T111" s="36"/>
      <c r="U111" s="36">
        <v>971</v>
      </c>
      <c r="V111" s="36"/>
      <c r="W111" s="36">
        <f>2666213+195</f>
        <v>2666408</v>
      </c>
      <c r="X111" s="36"/>
      <c r="Y111" s="39">
        <f t="shared" si="6"/>
        <v>8988773</v>
      </c>
      <c r="Z111" s="36"/>
      <c r="AA111" s="36">
        <v>0</v>
      </c>
      <c r="AB111" s="36"/>
      <c r="AC111" s="36">
        <v>0</v>
      </c>
      <c r="AD111" s="19" t="s">
        <v>229</v>
      </c>
      <c r="AF111" s="19" t="s">
        <v>230</v>
      </c>
      <c r="AG111" s="36"/>
      <c r="AH111" s="36">
        <v>0</v>
      </c>
      <c r="AI111" s="36"/>
      <c r="AJ111" s="36"/>
      <c r="AK111" s="36"/>
      <c r="AL111" s="36">
        <v>0</v>
      </c>
      <c r="AM111" s="36"/>
      <c r="AN111" s="36">
        <v>0</v>
      </c>
      <c r="AO111" s="36"/>
      <c r="AP111" s="36"/>
      <c r="AQ111" s="36"/>
      <c r="AR111" s="36">
        <v>0</v>
      </c>
      <c r="AS111" s="36"/>
      <c r="AT111" s="36">
        <v>0</v>
      </c>
      <c r="AU111" s="36"/>
      <c r="AV111" s="39">
        <f t="shared" si="7"/>
        <v>0</v>
      </c>
      <c r="AW111" s="36"/>
      <c r="AX111" s="39">
        <f t="shared" si="8"/>
        <v>8988773</v>
      </c>
    </row>
    <row r="112" spans="1:52" s="19" customFormat="1" ht="12" hidden="1">
      <c r="A112" s="19" t="s">
        <v>421</v>
      </c>
      <c r="C112" s="19" t="s">
        <v>232</v>
      </c>
      <c r="E112" s="19">
        <v>49254</v>
      </c>
      <c r="G112" s="36"/>
      <c r="H112" s="36"/>
      <c r="I112" s="36"/>
      <c r="J112" s="36"/>
      <c r="K112" s="36">
        <v>1186675</v>
      </c>
      <c r="L112" s="36"/>
      <c r="M112" s="36">
        <v>5731</v>
      </c>
      <c r="N112" s="36"/>
      <c r="O112" s="36">
        <v>3683932</v>
      </c>
      <c r="P112" s="36"/>
      <c r="Q112" s="36"/>
      <c r="R112" s="36"/>
      <c r="S112" s="36"/>
      <c r="T112" s="36"/>
      <c r="U112" s="36">
        <v>903</v>
      </c>
      <c r="V112" s="36"/>
      <c r="W112" s="36">
        <f>96598+138605+23315</f>
        <v>258518</v>
      </c>
      <c r="X112" s="36"/>
      <c r="Y112" s="39">
        <f t="shared" si="6"/>
        <v>5135759</v>
      </c>
      <c r="Z112" s="36"/>
      <c r="AA112" s="36"/>
      <c r="AB112" s="36"/>
      <c r="AC112" s="36">
        <v>0</v>
      </c>
      <c r="AD112" s="19" t="s">
        <v>231</v>
      </c>
      <c r="AF112" s="19" t="s">
        <v>232</v>
      </c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>
        <v>0</v>
      </c>
      <c r="AS112" s="36"/>
      <c r="AT112" s="36"/>
      <c r="AU112" s="36"/>
      <c r="AV112" s="39">
        <f t="shared" si="7"/>
        <v>0</v>
      </c>
      <c r="AW112" s="36"/>
      <c r="AX112" s="39">
        <f t="shared" si="8"/>
        <v>5135759</v>
      </c>
      <c r="AZ112" s="19" t="s">
        <v>373</v>
      </c>
    </row>
    <row r="113" spans="1:52" s="19" customFormat="1" ht="12">
      <c r="A113" s="19" t="s">
        <v>233</v>
      </c>
      <c r="C113" s="19" t="s">
        <v>234</v>
      </c>
      <c r="E113" s="19">
        <v>49304</v>
      </c>
      <c r="G113" s="36">
        <v>0</v>
      </c>
      <c r="H113" s="36"/>
      <c r="I113" s="36"/>
      <c r="J113" s="36"/>
      <c r="K113" s="36">
        <f>81000+1989340+1741286</f>
        <v>3811626</v>
      </c>
      <c r="L113" s="36"/>
      <c r="M113" s="36">
        <v>26275</v>
      </c>
      <c r="N113" s="36"/>
      <c r="O113" s="36">
        <v>1983407</v>
      </c>
      <c r="P113" s="36"/>
      <c r="Q113" s="36">
        <v>0</v>
      </c>
      <c r="R113" s="36"/>
      <c r="S113" s="36">
        <v>0</v>
      </c>
      <c r="T113" s="36"/>
      <c r="U113" s="36">
        <v>0</v>
      </c>
      <c r="V113" s="36"/>
      <c r="W113" s="36">
        <f>16002+187403+77037</f>
        <v>280442</v>
      </c>
      <c r="X113" s="36"/>
      <c r="Y113" s="39">
        <f t="shared" si="6"/>
        <v>6101750</v>
      </c>
      <c r="Z113" s="36"/>
      <c r="AA113" s="36">
        <v>0</v>
      </c>
      <c r="AB113" s="36"/>
      <c r="AC113" s="36">
        <v>0</v>
      </c>
      <c r="AD113" s="19" t="s">
        <v>233</v>
      </c>
      <c r="AF113" s="19" t="s">
        <v>234</v>
      </c>
      <c r="AG113" s="36"/>
      <c r="AH113" s="36">
        <v>0</v>
      </c>
      <c r="AI113" s="36"/>
      <c r="AJ113" s="36"/>
      <c r="AK113" s="36"/>
      <c r="AL113" s="36">
        <v>0</v>
      </c>
      <c r="AM113" s="36"/>
      <c r="AN113" s="36">
        <v>0</v>
      </c>
      <c r="AO113" s="36"/>
      <c r="AP113" s="36"/>
      <c r="AQ113" s="36"/>
      <c r="AR113" s="36">
        <v>0</v>
      </c>
      <c r="AS113" s="36"/>
      <c r="AT113" s="36">
        <v>0</v>
      </c>
      <c r="AU113" s="36"/>
      <c r="AV113" s="39">
        <f t="shared" si="7"/>
        <v>0</v>
      </c>
      <c r="AW113" s="36"/>
      <c r="AX113" s="39">
        <f t="shared" si="8"/>
        <v>6101750</v>
      </c>
    </row>
    <row r="114" spans="1:52" s="19" customFormat="1" ht="12">
      <c r="A114" s="19" t="s">
        <v>237</v>
      </c>
      <c r="C114" s="19" t="s">
        <v>238</v>
      </c>
      <c r="E114" s="19">
        <v>138222</v>
      </c>
      <c r="G114" s="36">
        <v>0</v>
      </c>
      <c r="H114" s="36"/>
      <c r="I114" s="36"/>
      <c r="J114" s="36"/>
      <c r="K114" s="36">
        <f>2732013+1199537</f>
        <v>3931550</v>
      </c>
      <c r="L114" s="36"/>
      <c r="M114" s="36">
        <v>77734</v>
      </c>
      <c r="N114" s="36"/>
      <c r="O114" s="36">
        <v>5252736</v>
      </c>
      <c r="P114" s="36"/>
      <c r="Q114" s="36">
        <v>0</v>
      </c>
      <c r="R114" s="36"/>
      <c r="S114" s="36">
        <v>0</v>
      </c>
      <c r="T114" s="36"/>
      <c r="U114" s="36">
        <v>17453</v>
      </c>
      <c r="V114" s="36"/>
      <c r="W114" s="36">
        <f>105000+166597+466253</f>
        <v>737850</v>
      </c>
      <c r="X114" s="36"/>
      <c r="Y114" s="39">
        <f t="shared" si="6"/>
        <v>10017323</v>
      </c>
      <c r="Z114" s="36"/>
      <c r="AA114" s="36">
        <v>18185</v>
      </c>
      <c r="AB114" s="36"/>
      <c r="AC114" s="36">
        <v>0</v>
      </c>
      <c r="AD114" s="19" t="s">
        <v>237</v>
      </c>
      <c r="AF114" s="19" t="s">
        <v>238</v>
      </c>
      <c r="AG114" s="36"/>
      <c r="AH114" s="36">
        <v>0</v>
      </c>
      <c r="AI114" s="36"/>
      <c r="AJ114" s="36"/>
      <c r="AK114" s="36"/>
      <c r="AL114" s="36">
        <v>0</v>
      </c>
      <c r="AM114" s="36"/>
      <c r="AN114" s="36">
        <v>100</v>
      </c>
      <c r="AO114" s="36"/>
      <c r="AP114" s="36"/>
      <c r="AQ114" s="36"/>
      <c r="AR114" s="36">
        <v>0</v>
      </c>
      <c r="AS114" s="36"/>
      <c r="AT114" s="36">
        <v>0</v>
      </c>
      <c r="AU114" s="36"/>
      <c r="AV114" s="39">
        <f t="shared" si="7"/>
        <v>18285</v>
      </c>
      <c r="AW114" s="36"/>
      <c r="AX114" s="39">
        <f t="shared" si="8"/>
        <v>10035608</v>
      </c>
    </row>
    <row r="115" spans="1:52" s="19" customFormat="1" ht="12" hidden="1">
      <c r="A115" s="71" t="s">
        <v>239</v>
      </c>
      <c r="C115" s="19" t="s">
        <v>240</v>
      </c>
      <c r="E115" s="19">
        <v>49551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9">
        <f t="shared" si="6"/>
        <v>0</v>
      </c>
      <c r="Z115" s="36"/>
      <c r="AA115" s="36"/>
      <c r="AB115" s="36"/>
      <c r="AC115" s="36">
        <v>0</v>
      </c>
      <c r="AD115" s="19" t="s">
        <v>239</v>
      </c>
      <c r="AF115" s="19" t="s">
        <v>240</v>
      </c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>
        <v>0</v>
      </c>
      <c r="AS115" s="36"/>
      <c r="AT115" s="36">
        <v>0</v>
      </c>
      <c r="AU115" s="36"/>
      <c r="AV115" s="39">
        <f t="shared" si="7"/>
        <v>0</v>
      </c>
      <c r="AW115" s="36"/>
      <c r="AX115" s="39">
        <f t="shared" si="8"/>
        <v>0</v>
      </c>
      <c r="AZ115" s="17" t="s">
        <v>425</v>
      </c>
    </row>
    <row r="116" spans="1:52" s="19" customFormat="1" ht="12">
      <c r="A116" s="19" t="s">
        <v>245</v>
      </c>
      <c r="C116" s="19" t="s">
        <v>246</v>
      </c>
      <c r="E116" s="19">
        <v>49742</v>
      </c>
      <c r="G116" s="36">
        <v>0</v>
      </c>
      <c r="H116" s="36"/>
      <c r="I116" s="36"/>
      <c r="J116" s="36"/>
      <c r="K116" s="36">
        <f>704018+755784+251197</f>
        <v>1710999</v>
      </c>
      <c r="L116" s="36"/>
      <c r="M116" s="36">
        <v>15834</v>
      </c>
      <c r="N116" s="36"/>
      <c r="O116" s="36">
        <v>0</v>
      </c>
      <c r="P116" s="36"/>
      <c r="Q116" s="36">
        <v>4984</v>
      </c>
      <c r="R116" s="36"/>
      <c r="S116" s="36">
        <v>0</v>
      </c>
      <c r="T116" s="36"/>
      <c r="U116" s="36">
        <v>0</v>
      </c>
      <c r="V116" s="36"/>
      <c r="W116" s="36">
        <f>3083793+44020</f>
        <v>3127813</v>
      </c>
      <c r="X116" s="36"/>
      <c r="Y116" s="39">
        <f t="shared" si="6"/>
        <v>4859630</v>
      </c>
      <c r="Z116" s="36"/>
      <c r="AA116" s="36"/>
      <c r="AB116" s="36"/>
      <c r="AC116" s="36">
        <v>25669</v>
      </c>
      <c r="AD116" s="19" t="s">
        <v>245</v>
      </c>
      <c r="AF116" s="19" t="s">
        <v>246</v>
      </c>
      <c r="AG116" s="36"/>
      <c r="AH116" s="36">
        <v>0</v>
      </c>
      <c r="AI116" s="36"/>
      <c r="AJ116" s="36"/>
      <c r="AK116" s="36"/>
      <c r="AL116" s="36">
        <v>0</v>
      </c>
      <c r="AM116" s="36"/>
      <c r="AN116" s="36">
        <v>0</v>
      </c>
      <c r="AO116" s="36"/>
      <c r="AP116" s="36"/>
      <c r="AQ116" s="36"/>
      <c r="AR116" s="36">
        <v>0</v>
      </c>
      <c r="AS116" s="36"/>
      <c r="AT116" s="36">
        <v>0</v>
      </c>
      <c r="AU116" s="36"/>
      <c r="AV116" s="39">
        <f t="shared" si="7"/>
        <v>25669</v>
      </c>
      <c r="AW116" s="36"/>
      <c r="AX116" s="39">
        <f t="shared" si="8"/>
        <v>4885299</v>
      </c>
    </row>
    <row r="117" spans="1:52" s="19" customFormat="1" ht="12">
      <c r="A117" s="19" t="s">
        <v>371</v>
      </c>
      <c r="C117" s="19" t="s">
        <v>242</v>
      </c>
      <c r="E117" s="19">
        <v>125658</v>
      </c>
      <c r="G117" s="36">
        <v>0</v>
      </c>
      <c r="H117" s="36"/>
      <c r="I117" s="36"/>
      <c r="J117" s="36"/>
      <c r="K117" s="36">
        <v>2724782</v>
      </c>
      <c r="L117" s="36"/>
      <c r="M117" s="36">
        <v>3759</v>
      </c>
      <c r="N117" s="36"/>
      <c r="O117" s="36">
        <v>5258313</v>
      </c>
      <c r="P117" s="36"/>
      <c r="Q117" s="36">
        <v>0</v>
      </c>
      <c r="R117" s="36"/>
      <c r="S117" s="36">
        <v>0</v>
      </c>
      <c r="T117" s="36"/>
      <c r="U117" s="36">
        <v>23200</v>
      </c>
      <c r="V117" s="36"/>
      <c r="W117" s="36">
        <f>1251+1008323</f>
        <v>1009574</v>
      </c>
      <c r="X117" s="36"/>
      <c r="Y117" s="39">
        <f t="shared" si="6"/>
        <v>9019628</v>
      </c>
      <c r="Z117" s="36"/>
      <c r="AA117" s="36">
        <v>231537</v>
      </c>
      <c r="AB117" s="36"/>
      <c r="AC117" s="36">
        <v>0</v>
      </c>
      <c r="AD117" s="19" t="s">
        <v>241</v>
      </c>
      <c r="AF117" s="19" t="s">
        <v>242</v>
      </c>
      <c r="AG117" s="36"/>
      <c r="AH117" s="36">
        <v>0</v>
      </c>
      <c r="AI117" s="36"/>
      <c r="AJ117" s="36"/>
      <c r="AK117" s="36"/>
      <c r="AL117" s="36">
        <v>0</v>
      </c>
      <c r="AM117" s="36"/>
      <c r="AN117" s="36">
        <v>0</v>
      </c>
      <c r="AO117" s="36"/>
      <c r="AP117" s="36"/>
      <c r="AQ117" s="36"/>
      <c r="AR117" s="36">
        <v>0</v>
      </c>
      <c r="AS117" s="36"/>
      <c r="AT117" s="36">
        <v>0</v>
      </c>
      <c r="AU117" s="36"/>
      <c r="AV117" s="39">
        <f t="shared" si="7"/>
        <v>231537</v>
      </c>
      <c r="AW117" s="36"/>
      <c r="AX117" s="39">
        <f t="shared" si="8"/>
        <v>9251165</v>
      </c>
    </row>
    <row r="118" spans="1:52" s="19" customFormat="1" ht="12">
      <c r="A118" s="2" t="s">
        <v>370</v>
      </c>
      <c r="B118" s="2"/>
      <c r="C118" s="2" t="s">
        <v>173</v>
      </c>
      <c r="G118" s="36">
        <v>0</v>
      </c>
      <c r="H118" s="36"/>
      <c r="I118" s="36"/>
      <c r="J118" s="36"/>
      <c r="K118" s="36">
        <v>1548456</v>
      </c>
      <c r="L118" s="36"/>
      <c r="M118" s="36">
        <v>161421</v>
      </c>
      <c r="N118" s="36"/>
      <c r="O118" s="36">
        <f>2175821+280707</f>
        <v>2456528</v>
      </c>
      <c r="P118" s="36"/>
      <c r="Q118" s="36">
        <v>0</v>
      </c>
      <c r="R118" s="36"/>
      <c r="S118" s="36">
        <v>0</v>
      </c>
      <c r="T118" s="36"/>
      <c r="U118" s="36">
        <v>0</v>
      </c>
      <c r="V118" s="36"/>
      <c r="W118" s="36">
        <v>45072</v>
      </c>
      <c r="X118" s="36"/>
      <c r="Y118" s="39">
        <f>SUM(G118:X118)</f>
        <v>4211477</v>
      </c>
      <c r="Z118" s="36"/>
      <c r="AA118" s="36">
        <v>0</v>
      </c>
      <c r="AB118" s="36"/>
      <c r="AC118" s="36">
        <v>0</v>
      </c>
      <c r="AD118" s="2" t="s">
        <v>370</v>
      </c>
      <c r="AE118" s="2"/>
      <c r="AF118" s="2" t="s">
        <v>173</v>
      </c>
      <c r="AG118" s="36"/>
      <c r="AH118" s="36">
        <v>0</v>
      </c>
      <c r="AI118" s="36"/>
      <c r="AJ118" s="36"/>
      <c r="AK118" s="36"/>
      <c r="AL118" s="36">
        <v>0</v>
      </c>
      <c r="AM118" s="36"/>
      <c r="AN118" s="36">
        <v>5660</v>
      </c>
      <c r="AO118" s="36"/>
      <c r="AP118" s="36"/>
      <c r="AQ118" s="36"/>
      <c r="AR118" s="36">
        <v>0</v>
      </c>
      <c r="AS118" s="36"/>
      <c r="AT118" s="36">
        <v>0</v>
      </c>
      <c r="AU118" s="36"/>
      <c r="AV118" s="39">
        <f>SUM(AA118:AT118)</f>
        <v>5660</v>
      </c>
      <c r="AW118" s="36"/>
      <c r="AX118" s="39">
        <f t="shared" si="8"/>
        <v>4217137</v>
      </c>
      <c r="AZ118" s="80" t="s">
        <v>411</v>
      </c>
    </row>
    <row r="119" spans="1:52" s="19" customFormat="1" ht="12">
      <c r="A119" s="19" t="s">
        <v>435</v>
      </c>
      <c r="C119" s="19" t="s">
        <v>248</v>
      </c>
      <c r="E119" s="19">
        <v>49825</v>
      </c>
      <c r="G119" s="36">
        <v>0</v>
      </c>
      <c r="H119" s="36"/>
      <c r="I119" s="36"/>
      <c r="J119" s="36"/>
      <c r="K119" s="36">
        <f>238093+4776299+2499598</f>
        <v>7513990</v>
      </c>
      <c r="L119" s="36"/>
      <c r="M119" s="36">
        <v>96096</v>
      </c>
      <c r="N119" s="36"/>
      <c r="O119" s="36">
        <v>6657574</v>
      </c>
      <c r="P119" s="36"/>
      <c r="Q119" s="36">
        <v>0</v>
      </c>
      <c r="R119" s="36"/>
      <c r="S119" s="36">
        <v>0</v>
      </c>
      <c r="T119" s="36"/>
      <c r="U119" s="36">
        <v>0</v>
      </c>
      <c r="V119" s="36"/>
      <c r="W119" s="36">
        <f>296229+75489+4944937+17193+7772</f>
        <v>5341620</v>
      </c>
      <c r="X119" s="36"/>
      <c r="Y119" s="39">
        <f t="shared" si="6"/>
        <v>19609280</v>
      </c>
      <c r="Z119" s="36"/>
      <c r="AA119" s="36">
        <v>0</v>
      </c>
      <c r="AB119" s="36"/>
      <c r="AC119" s="36">
        <v>0</v>
      </c>
      <c r="AD119" s="19" t="s">
        <v>247</v>
      </c>
      <c r="AF119" s="19" t="s">
        <v>248</v>
      </c>
      <c r="AG119" s="36"/>
      <c r="AH119" s="36">
        <v>0</v>
      </c>
      <c r="AI119" s="36"/>
      <c r="AJ119" s="36"/>
      <c r="AK119" s="36"/>
      <c r="AL119" s="36">
        <v>0</v>
      </c>
      <c r="AM119" s="36"/>
      <c r="AN119" s="36">
        <v>2062</v>
      </c>
      <c r="AO119" s="36"/>
      <c r="AP119" s="36"/>
      <c r="AQ119" s="36"/>
      <c r="AR119" s="36">
        <v>0</v>
      </c>
      <c r="AS119" s="36"/>
      <c r="AT119" s="36">
        <v>0</v>
      </c>
      <c r="AU119" s="36"/>
      <c r="AV119" s="39">
        <f t="shared" si="7"/>
        <v>2062</v>
      </c>
      <c r="AW119" s="36"/>
      <c r="AX119" s="39">
        <f t="shared" si="8"/>
        <v>19611342</v>
      </c>
      <c r="AZ119" s="100" t="s">
        <v>424</v>
      </c>
    </row>
    <row r="120" spans="1:52" s="19" customFormat="1" ht="12">
      <c r="A120" s="19" t="s">
        <v>249</v>
      </c>
      <c r="C120" s="19" t="s">
        <v>250</v>
      </c>
      <c r="E120" s="19">
        <v>49965</v>
      </c>
      <c r="G120" s="36">
        <v>0</v>
      </c>
      <c r="H120" s="36"/>
      <c r="I120" s="36"/>
      <c r="J120" s="36"/>
      <c r="K120" s="36">
        <v>6064539</v>
      </c>
      <c r="L120" s="36"/>
      <c r="M120" s="36">
        <v>65048</v>
      </c>
      <c r="N120" s="36"/>
      <c r="O120" s="36">
        <v>1021296</v>
      </c>
      <c r="P120" s="36"/>
      <c r="Q120" s="36">
        <v>0</v>
      </c>
      <c r="R120" s="36"/>
      <c r="S120" s="36">
        <v>0</v>
      </c>
      <c r="T120" s="36"/>
      <c r="U120" s="36">
        <v>0</v>
      </c>
      <c r="V120" s="36"/>
      <c r="W120" s="36">
        <f>6596537+21789</f>
        <v>6618326</v>
      </c>
      <c r="X120" s="36"/>
      <c r="Y120" s="39">
        <f t="shared" si="6"/>
        <v>13769209</v>
      </c>
      <c r="Z120" s="36"/>
      <c r="AA120" s="36">
        <v>0</v>
      </c>
      <c r="AB120" s="36"/>
      <c r="AC120" s="36">
        <v>0</v>
      </c>
      <c r="AD120" s="19" t="s">
        <v>249</v>
      </c>
      <c r="AF120" s="19" t="s">
        <v>250</v>
      </c>
      <c r="AG120" s="36"/>
      <c r="AH120" s="36">
        <v>0</v>
      </c>
      <c r="AI120" s="36"/>
      <c r="AJ120" s="36"/>
      <c r="AK120" s="36"/>
      <c r="AL120" s="36">
        <v>0</v>
      </c>
      <c r="AM120" s="36"/>
      <c r="AN120" s="36">
        <v>0</v>
      </c>
      <c r="AO120" s="36"/>
      <c r="AP120" s="36"/>
      <c r="AQ120" s="36"/>
      <c r="AR120" s="36">
        <v>0</v>
      </c>
      <c r="AS120" s="36"/>
      <c r="AT120" s="36">
        <v>0</v>
      </c>
      <c r="AU120" s="36"/>
      <c r="AV120" s="39">
        <f t="shared" si="7"/>
        <v>0</v>
      </c>
      <c r="AW120" s="36"/>
      <c r="AX120" s="39">
        <f t="shared" si="8"/>
        <v>13769209</v>
      </c>
    </row>
    <row r="121" spans="1:52" s="19" customFormat="1" ht="12">
      <c r="A121" s="19" t="s">
        <v>261</v>
      </c>
      <c r="C121" s="19" t="s">
        <v>262</v>
      </c>
      <c r="E121" s="19">
        <v>50526</v>
      </c>
      <c r="G121" s="36">
        <v>0</v>
      </c>
      <c r="H121" s="36"/>
      <c r="I121" s="36"/>
      <c r="J121" s="36"/>
      <c r="K121" s="36">
        <f>76677+3499294+666810</f>
        <v>4242781</v>
      </c>
      <c r="L121" s="36"/>
      <c r="M121" s="36">
        <v>47991</v>
      </c>
      <c r="N121" s="36"/>
      <c r="O121" s="36">
        <v>1627828</v>
      </c>
      <c r="P121" s="36"/>
      <c r="Q121" s="36">
        <v>0</v>
      </c>
      <c r="R121" s="36"/>
      <c r="S121" s="36">
        <v>0</v>
      </c>
      <c r="T121" s="36"/>
      <c r="U121" s="36">
        <v>0</v>
      </c>
      <c r="V121" s="36"/>
      <c r="W121" s="36">
        <f>8380668+7603</f>
        <v>8388271</v>
      </c>
      <c r="X121" s="36"/>
      <c r="Y121" s="39">
        <f t="shared" si="6"/>
        <v>14306871</v>
      </c>
      <c r="Z121" s="36"/>
      <c r="AA121" s="36">
        <v>0</v>
      </c>
      <c r="AB121" s="36"/>
      <c r="AC121" s="36">
        <v>0</v>
      </c>
      <c r="AD121" s="19" t="s">
        <v>261</v>
      </c>
      <c r="AF121" s="19" t="s">
        <v>262</v>
      </c>
      <c r="AG121" s="36"/>
      <c r="AH121" s="36">
        <v>0</v>
      </c>
      <c r="AI121" s="36"/>
      <c r="AJ121" s="36"/>
      <c r="AK121" s="36"/>
      <c r="AL121" s="36">
        <v>0</v>
      </c>
      <c r="AM121" s="36"/>
      <c r="AN121" s="36">
        <v>0</v>
      </c>
      <c r="AO121" s="36"/>
      <c r="AP121" s="36"/>
      <c r="AQ121" s="36"/>
      <c r="AR121" s="36">
        <v>0</v>
      </c>
      <c r="AS121" s="36"/>
      <c r="AT121" s="36">
        <v>0</v>
      </c>
      <c r="AU121" s="36"/>
      <c r="AV121" s="39">
        <f t="shared" si="7"/>
        <v>0</v>
      </c>
      <c r="AW121" s="36"/>
      <c r="AX121" s="39">
        <f t="shared" si="8"/>
        <v>14306871</v>
      </c>
    </row>
    <row r="122" spans="1:52" s="19" customFormat="1" ht="12">
      <c r="A122" s="19" t="s">
        <v>251</v>
      </c>
      <c r="C122" s="19" t="s">
        <v>252</v>
      </c>
      <c r="E122" s="19">
        <v>50088</v>
      </c>
      <c r="G122" s="36">
        <v>0</v>
      </c>
      <c r="H122" s="36"/>
      <c r="I122" s="36"/>
      <c r="J122" s="36"/>
      <c r="K122" s="36">
        <f>2442163+525734</f>
        <v>2967897</v>
      </c>
      <c r="L122" s="36"/>
      <c r="M122" s="36">
        <v>191925</v>
      </c>
      <c r="N122" s="36"/>
      <c r="O122" s="36">
        <v>13367579</v>
      </c>
      <c r="P122" s="36"/>
      <c r="Q122" s="36">
        <v>100</v>
      </c>
      <c r="R122" s="36"/>
      <c r="S122" s="36">
        <v>0</v>
      </c>
      <c r="T122" s="36"/>
      <c r="U122" s="36">
        <v>28063</v>
      </c>
      <c r="V122" s="36"/>
      <c r="W122" s="36">
        <f>10406+21436</f>
        <v>31842</v>
      </c>
      <c r="X122" s="36"/>
      <c r="Y122" s="39">
        <f t="shared" si="6"/>
        <v>16587406</v>
      </c>
      <c r="Z122" s="36"/>
      <c r="AA122" s="36">
        <v>0</v>
      </c>
      <c r="AB122" s="36"/>
      <c r="AC122" s="36">
        <v>0</v>
      </c>
      <c r="AD122" s="19" t="s">
        <v>251</v>
      </c>
      <c r="AF122" s="19" t="s">
        <v>252</v>
      </c>
      <c r="AG122" s="36"/>
      <c r="AH122" s="36">
        <v>0</v>
      </c>
      <c r="AI122" s="36"/>
      <c r="AJ122" s="36"/>
      <c r="AK122" s="36"/>
      <c r="AL122" s="36">
        <v>0</v>
      </c>
      <c r="AM122" s="36"/>
      <c r="AN122" s="36">
        <v>0</v>
      </c>
      <c r="AO122" s="36"/>
      <c r="AP122" s="36"/>
      <c r="AQ122" s="36"/>
      <c r="AR122" s="36">
        <v>0</v>
      </c>
      <c r="AS122" s="36"/>
      <c r="AT122" s="36">
        <v>0</v>
      </c>
      <c r="AU122" s="36"/>
      <c r="AV122" s="39">
        <f t="shared" si="7"/>
        <v>0</v>
      </c>
      <c r="AW122" s="36"/>
      <c r="AX122" s="39">
        <f t="shared" si="8"/>
        <v>16587406</v>
      </c>
    </row>
    <row r="123" spans="1:52" s="19" customFormat="1" ht="12">
      <c r="A123" s="2" t="s">
        <v>389</v>
      </c>
      <c r="C123" s="19" t="s">
        <v>254</v>
      </c>
      <c r="E123" s="19">
        <v>50260</v>
      </c>
      <c r="G123" s="36">
        <v>0</v>
      </c>
      <c r="H123" s="36"/>
      <c r="I123" s="36"/>
      <c r="J123" s="36"/>
      <c r="K123" s="36">
        <f>1306+1337894+50889</f>
        <v>1390089</v>
      </c>
      <c r="L123" s="36"/>
      <c r="M123" s="36">
        <v>0</v>
      </c>
      <c r="N123" s="36"/>
      <c r="O123" s="36">
        <v>1951760</v>
      </c>
      <c r="P123" s="36"/>
      <c r="Q123" s="36">
        <v>8662</v>
      </c>
      <c r="R123" s="36"/>
      <c r="S123" s="36">
        <v>0</v>
      </c>
      <c r="T123" s="36"/>
      <c r="U123" s="36">
        <v>0</v>
      </c>
      <c r="V123" s="36"/>
      <c r="W123" s="36">
        <v>3070298</v>
      </c>
      <c r="X123" s="36"/>
      <c r="Y123" s="39">
        <f t="shared" si="6"/>
        <v>6420809</v>
      </c>
      <c r="Z123" s="36"/>
      <c r="AA123" s="36">
        <v>0</v>
      </c>
      <c r="AB123" s="36"/>
      <c r="AC123" s="36">
        <v>0</v>
      </c>
      <c r="AD123" s="19" t="s">
        <v>376</v>
      </c>
      <c r="AF123" s="19" t="s">
        <v>254</v>
      </c>
      <c r="AG123" s="36"/>
      <c r="AH123" s="36">
        <v>0</v>
      </c>
      <c r="AI123" s="36"/>
      <c r="AJ123" s="36"/>
      <c r="AK123" s="36"/>
      <c r="AL123" s="36">
        <v>29308</v>
      </c>
      <c r="AM123" s="36"/>
      <c r="AN123" s="36">
        <v>0</v>
      </c>
      <c r="AO123" s="36"/>
      <c r="AP123" s="36"/>
      <c r="AQ123" s="36"/>
      <c r="AR123" s="36">
        <v>0</v>
      </c>
      <c r="AS123" s="36"/>
      <c r="AT123" s="36">
        <v>0</v>
      </c>
      <c r="AU123" s="36"/>
      <c r="AV123" s="39">
        <f t="shared" si="7"/>
        <v>29308</v>
      </c>
      <c r="AW123" s="36"/>
      <c r="AX123" s="39">
        <f t="shared" si="8"/>
        <v>6450117</v>
      </c>
      <c r="AZ123" s="60"/>
    </row>
    <row r="124" spans="1:52" s="19" customFormat="1" ht="12" hidden="1">
      <c r="A124" s="19" t="s">
        <v>257</v>
      </c>
      <c r="C124" s="19" t="s">
        <v>258</v>
      </c>
      <c r="E124" s="19">
        <v>50401</v>
      </c>
      <c r="G124" s="36"/>
      <c r="H124" s="36"/>
      <c r="I124" s="36"/>
      <c r="J124" s="36"/>
      <c r="K124" s="36">
        <v>3478374</v>
      </c>
      <c r="L124" s="36"/>
      <c r="M124" s="36">
        <v>63347</v>
      </c>
      <c r="N124" s="36"/>
      <c r="O124" s="36">
        <v>1396562</v>
      </c>
      <c r="P124" s="36"/>
      <c r="Q124" s="36"/>
      <c r="R124" s="36"/>
      <c r="S124" s="36"/>
      <c r="T124" s="36"/>
      <c r="U124" s="36"/>
      <c r="V124" s="36"/>
      <c r="W124" s="36">
        <f>10885131+19017</f>
        <v>10904148</v>
      </c>
      <c r="X124" s="36"/>
      <c r="Y124" s="39">
        <f t="shared" si="6"/>
        <v>15842431</v>
      </c>
      <c r="Z124" s="36"/>
      <c r="AA124" s="36"/>
      <c r="AB124" s="36"/>
      <c r="AC124" s="36">
        <v>0</v>
      </c>
      <c r="AD124" s="19" t="s">
        <v>257</v>
      </c>
      <c r="AF124" s="19" t="s">
        <v>258</v>
      </c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>
        <v>0</v>
      </c>
      <c r="AS124" s="36"/>
      <c r="AT124" s="36"/>
      <c r="AU124" s="36"/>
      <c r="AV124" s="39">
        <f t="shared" si="7"/>
        <v>0</v>
      </c>
      <c r="AW124" s="36"/>
      <c r="AX124" s="39">
        <f t="shared" si="8"/>
        <v>15842431</v>
      </c>
      <c r="AZ124" s="13" t="s">
        <v>373</v>
      </c>
    </row>
    <row r="125" spans="1:52" s="19" customFormat="1" ht="12" hidden="1">
      <c r="A125" s="71" t="s">
        <v>259</v>
      </c>
      <c r="C125" s="19" t="s">
        <v>260</v>
      </c>
      <c r="E125" s="19">
        <v>50476</v>
      </c>
      <c r="G125" s="36"/>
      <c r="H125" s="36"/>
      <c r="I125" s="36"/>
      <c r="J125" s="36"/>
      <c r="Y125" s="39">
        <f t="shared" si="6"/>
        <v>0</v>
      </c>
      <c r="AR125" s="36">
        <v>0</v>
      </c>
      <c r="AT125" s="36">
        <v>0</v>
      </c>
      <c r="AW125" s="36"/>
      <c r="AX125" s="39">
        <f t="shared" si="8"/>
        <v>0</v>
      </c>
      <c r="AZ125" s="60" t="s">
        <v>428</v>
      </c>
    </row>
    <row r="126" spans="1:52" s="19" customFormat="1" ht="12">
      <c r="A126" s="19" t="s">
        <v>255</v>
      </c>
      <c r="C126" s="19" t="s">
        <v>358</v>
      </c>
      <c r="E126" s="19">
        <v>134999</v>
      </c>
      <c r="G126" s="36">
        <v>0</v>
      </c>
      <c r="H126" s="36"/>
      <c r="I126" s="36"/>
      <c r="J126" s="36"/>
      <c r="K126" s="36">
        <v>2933221</v>
      </c>
      <c r="L126" s="36"/>
      <c r="M126" s="36">
        <v>19777</v>
      </c>
      <c r="N126" s="36"/>
      <c r="O126" s="36">
        <v>150041</v>
      </c>
      <c r="P126" s="36"/>
      <c r="Q126" s="36">
        <v>0</v>
      </c>
      <c r="R126" s="36"/>
      <c r="S126" s="36">
        <v>0</v>
      </c>
      <c r="T126" s="36"/>
      <c r="U126" s="36">
        <v>50</v>
      </c>
      <c r="V126" s="36"/>
      <c r="W126" s="36">
        <f>5642+3069382</f>
        <v>3075024</v>
      </c>
      <c r="X126" s="36"/>
      <c r="Y126" s="39">
        <f t="shared" si="6"/>
        <v>6178113</v>
      </c>
      <c r="Z126" s="36"/>
      <c r="AA126" s="36">
        <v>0</v>
      </c>
      <c r="AB126" s="36"/>
      <c r="AC126" s="36">
        <v>0</v>
      </c>
      <c r="AD126" s="19" t="s">
        <v>255</v>
      </c>
      <c r="AF126" s="19" t="s">
        <v>358</v>
      </c>
      <c r="AG126" s="36"/>
      <c r="AH126" s="36">
        <v>0</v>
      </c>
      <c r="AI126" s="36"/>
      <c r="AJ126" s="36"/>
      <c r="AK126" s="36"/>
      <c r="AL126" s="36">
        <v>0</v>
      </c>
      <c r="AM126" s="36"/>
      <c r="AN126" s="36">
        <v>0</v>
      </c>
      <c r="AO126" s="36"/>
      <c r="AP126" s="36"/>
      <c r="AQ126" s="36"/>
      <c r="AR126" s="36">
        <v>0</v>
      </c>
      <c r="AS126" s="36"/>
      <c r="AT126" s="36">
        <v>0</v>
      </c>
      <c r="AU126" s="36"/>
      <c r="AV126" s="39">
        <f>SUM(AA126:AT126)</f>
        <v>0</v>
      </c>
      <c r="AW126" s="36"/>
      <c r="AX126" s="39">
        <f t="shared" si="8"/>
        <v>6178113</v>
      </c>
      <c r="AZ126" s="60"/>
    </row>
    <row r="127" spans="1:52" s="19" customFormat="1" ht="12">
      <c r="A127" s="19" t="s">
        <v>263</v>
      </c>
      <c r="C127" s="19" t="s">
        <v>264</v>
      </c>
      <c r="E127" s="19">
        <v>50666</v>
      </c>
      <c r="G127" s="36">
        <v>0</v>
      </c>
      <c r="H127" s="36"/>
      <c r="I127" s="36"/>
      <c r="J127" s="36"/>
      <c r="K127" s="36">
        <v>3547668</v>
      </c>
      <c r="L127" s="36"/>
      <c r="M127" s="36">
        <v>141259</v>
      </c>
      <c r="N127" s="36"/>
      <c r="O127" s="36">
        <v>719643</v>
      </c>
      <c r="P127" s="36"/>
      <c r="Q127" s="36">
        <v>0</v>
      </c>
      <c r="R127" s="36"/>
      <c r="S127" s="36">
        <v>0</v>
      </c>
      <c r="T127" s="36"/>
      <c r="U127" s="36">
        <v>72572</v>
      </c>
      <c r="V127" s="36"/>
      <c r="W127" s="36">
        <f>115564+12139406</f>
        <v>12254970</v>
      </c>
      <c r="X127" s="36"/>
      <c r="Y127" s="39">
        <f t="shared" si="6"/>
        <v>16736112</v>
      </c>
      <c r="Z127" s="36"/>
      <c r="AA127" s="36">
        <v>0</v>
      </c>
      <c r="AB127" s="36"/>
      <c r="AC127" s="36">
        <v>0</v>
      </c>
      <c r="AD127" s="19" t="s">
        <v>263</v>
      </c>
      <c r="AF127" s="19" t="s">
        <v>264</v>
      </c>
      <c r="AG127" s="36"/>
      <c r="AH127" s="36">
        <v>0</v>
      </c>
      <c r="AI127" s="36"/>
      <c r="AJ127" s="36"/>
      <c r="AK127" s="36"/>
      <c r="AL127" s="36">
        <v>0</v>
      </c>
      <c r="AM127" s="36"/>
      <c r="AN127" s="36">
        <v>0</v>
      </c>
      <c r="AO127" s="36"/>
      <c r="AP127" s="36"/>
      <c r="AQ127" s="36"/>
      <c r="AR127" s="36">
        <v>0</v>
      </c>
      <c r="AS127" s="36"/>
      <c r="AT127" s="36">
        <v>0</v>
      </c>
      <c r="AU127" s="36"/>
      <c r="AV127" s="39">
        <f t="shared" si="7"/>
        <v>0</v>
      </c>
      <c r="AW127" s="36"/>
      <c r="AX127" s="39">
        <f t="shared" si="8"/>
        <v>16736112</v>
      </c>
      <c r="AZ127" s="60"/>
    </row>
    <row r="128" spans="1:52" s="19" customFormat="1" ht="12"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9"/>
      <c r="Z128" s="36"/>
      <c r="AA128" s="36"/>
      <c r="AB128" s="36"/>
      <c r="AC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9"/>
      <c r="AW128" s="36"/>
      <c r="AX128" s="39"/>
      <c r="AZ128" s="60"/>
    </row>
    <row r="129" spans="1:29" s="19" customFormat="1" ht="12">
      <c r="AC129" s="57" t="s">
        <v>348</v>
      </c>
    </row>
    <row r="130" spans="1:29">
      <c r="A130" s="121"/>
      <c r="B130" s="121"/>
      <c r="C130" s="121"/>
      <c r="D130" s="121"/>
      <c r="E130" s="121"/>
      <c r="F130" s="121"/>
      <c r="G130" s="121"/>
      <c r="H130" s="121"/>
      <c r="I130" s="121"/>
    </row>
    <row r="131" spans="1:29">
      <c r="G131" s="30"/>
    </row>
    <row r="132" spans="1:29">
      <c r="G132" s="30"/>
    </row>
    <row r="133" spans="1:29">
      <c r="G133" s="30"/>
    </row>
    <row r="134" spans="1:29">
      <c r="G134" s="30"/>
    </row>
    <row r="135" spans="1:29">
      <c r="G135" s="30"/>
    </row>
    <row r="136" spans="1:29">
      <c r="G136" s="30"/>
    </row>
    <row r="137" spans="1:29">
      <c r="G137" s="30"/>
    </row>
    <row r="139" spans="1:29">
      <c r="G139" s="30"/>
    </row>
    <row r="140" spans="1:29">
      <c r="G140" s="30"/>
    </row>
    <row r="141" spans="1:29">
      <c r="G141" s="30"/>
    </row>
    <row r="142" spans="1:29">
      <c r="G142" s="30"/>
    </row>
    <row r="143" spans="1:29">
      <c r="G143" s="30"/>
    </row>
    <row r="144" spans="1:29">
      <c r="G144" s="30"/>
    </row>
    <row r="145" spans="7:7">
      <c r="G145" s="30"/>
    </row>
    <row r="146" spans="7:7">
      <c r="G146" s="30"/>
    </row>
    <row r="147" spans="7:7">
      <c r="G147" s="30"/>
    </row>
    <row r="148" spans="7:7">
      <c r="G148" s="30"/>
    </row>
    <row r="149" spans="7:7">
      <c r="G149" s="30"/>
    </row>
    <row r="150" spans="7:7">
      <c r="G150" s="30"/>
    </row>
    <row r="151" spans="7:7">
      <c r="G151" s="30"/>
    </row>
    <row r="152" spans="7:7">
      <c r="G152" s="30"/>
    </row>
    <row r="153" spans="7:7">
      <c r="G153" s="30"/>
    </row>
    <row r="154" spans="7:7">
      <c r="G154" s="30"/>
    </row>
    <row r="155" spans="7:7">
      <c r="G155" s="30"/>
    </row>
    <row r="156" spans="7:7">
      <c r="G156" s="30"/>
    </row>
    <row r="157" spans="7:7">
      <c r="G157" s="30"/>
    </row>
    <row r="158" spans="7:7">
      <c r="G158" s="30"/>
    </row>
    <row r="159" spans="7:7">
      <c r="G159" s="30"/>
    </row>
    <row r="160" spans="7:7">
      <c r="G160" s="30"/>
    </row>
    <row r="161" spans="7:7">
      <c r="G161" s="30"/>
    </row>
    <row r="162" spans="7:7">
      <c r="G162" s="30"/>
    </row>
    <row r="163" spans="7:7">
      <c r="G163" s="30"/>
    </row>
    <row r="164" spans="7:7">
      <c r="G164" s="30"/>
    </row>
    <row r="165" spans="7:7">
      <c r="G165" s="30"/>
    </row>
    <row r="166" spans="7:7">
      <c r="G166" s="30"/>
    </row>
    <row r="167" spans="7:7">
      <c r="G167" s="30"/>
    </row>
    <row r="168" spans="7:7">
      <c r="G168" s="30"/>
    </row>
    <row r="169" spans="7:7">
      <c r="G169" s="30"/>
    </row>
    <row r="170" spans="7:7">
      <c r="G170" s="30"/>
    </row>
    <row r="171" spans="7:7">
      <c r="G171" s="30"/>
    </row>
    <row r="172" spans="7:7">
      <c r="G172" s="30"/>
    </row>
    <row r="173" spans="7:7">
      <c r="G173" s="30"/>
    </row>
    <row r="174" spans="7:7">
      <c r="G174" s="30"/>
    </row>
    <row r="175" spans="7:7">
      <c r="G175" s="30"/>
    </row>
    <row r="176" spans="7:7">
      <c r="G176" s="30"/>
    </row>
    <row r="178" spans="7:7">
      <c r="G178" s="30"/>
    </row>
    <row r="179" spans="7:7">
      <c r="G179" s="30"/>
    </row>
    <row r="180" spans="7:7">
      <c r="G180" s="30"/>
    </row>
    <row r="181" spans="7:7">
      <c r="G181" s="30"/>
    </row>
    <row r="182" spans="7:7">
      <c r="G182" s="30"/>
    </row>
    <row r="183" spans="7:7">
      <c r="G183" s="30"/>
    </row>
    <row r="184" spans="7:7">
      <c r="G184" s="30"/>
    </row>
    <row r="185" spans="7:7">
      <c r="G185" s="30"/>
    </row>
    <row r="186" spans="7:7">
      <c r="G186" s="30"/>
    </row>
    <row r="187" spans="7:7">
      <c r="G187" s="30"/>
    </row>
    <row r="188" spans="7:7">
      <c r="G188" s="30"/>
    </row>
    <row r="189" spans="7:7">
      <c r="G189" s="30"/>
    </row>
    <row r="191" spans="7:7">
      <c r="G191" s="30"/>
    </row>
    <row r="192" spans="7:7">
      <c r="G192" s="30"/>
    </row>
    <row r="193" spans="7:7">
      <c r="G193" s="30"/>
    </row>
    <row r="194" spans="7:7">
      <c r="G194" s="30"/>
    </row>
    <row r="195" spans="7:7">
      <c r="G195" s="30"/>
    </row>
    <row r="196" spans="7:7">
      <c r="G196" s="30"/>
    </row>
    <row r="197" spans="7:7">
      <c r="G197" s="30"/>
    </row>
    <row r="198" spans="7:7">
      <c r="G198" s="30"/>
    </row>
    <row r="199" spans="7:7">
      <c r="G199" s="30"/>
    </row>
    <row r="200" spans="7:7">
      <c r="G200" s="30"/>
    </row>
  </sheetData>
  <mergeCells count="3">
    <mergeCell ref="A130:I130"/>
    <mergeCell ref="A65:I65"/>
    <mergeCell ref="AH6:AN6"/>
  </mergeCells>
  <phoneticPr fontId="3" type="noConversion"/>
  <pageMargins left="0.75" right="0.75" top="0.5" bottom="0.5" header="0" footer="0.25"/>
  <pageSetup scale="85" firstPageNumber="52" fitToWidth="2" fitToHeight="2" pageOrder="overThenDown" orientation="portrait" useFirstPageNumber="1" horizontalDpi="1200" verticalDpi="1200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I135"/>
  <sheetViews>
    <sheetView zoomScaleNormal="100" zoomScaleSheetLayoutView="100" workbookViewId="0">
      <selection activeCell="A14" sqref="A14"/>
    </sheetView>
  </sheetViews>
  <sheetFormatPr defaultRowHeight="12.75"/>
  <cols>
    <col min="1" max="1" width="40.7109375" customWidth="1"/>
    <col min="2" max="2" width="1.7109375" customWidth="1"/>
    <col min="3" max="3" width="11.7109375" customWidth="1"/>
    <col min="4" max="4" width="1.7109375" hidden="1" customWidth="1"/>
    <col min="5" max="5" width="11.7109375" hidden="1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1.7109375" customWidth="1"/>
    <col min="28" max="28" width="1.7109375" customWidth="1"/>
    <col min="29" max="29" width="40.7109375" customWidth="1"/>
    <col min="30" max="30" width="1.7109375" customWidth="1"/>
    <col min="31" max="31" width="11.7109375" customWidth="1"/>
    <col min="32" max="32" width="1.7109375" customWidth="1"/>
    <col min="33" max="33" width="11.7109375" customWidth="1"/>
    <col min="34" max="34" width="1.7109375" customWidth="1"/>
    <col min="35" max="35" width="11.7109375" customWidth="1"/>
    <col min="36" max="36" width="1.7109375" hidden="1" customWidth="1"/>
    <col min="37" max="37" width="10.7109375" hidden="1" customWidth="1"/>
    <col min="38" max="38" width="1.7109375" customWidth="1"/>
    <col min="39" max="39" width="11.7109375" customWidth="1"/>
    <col min="40" max="40" width="1.7109375" customWidth="1"/>
    <col min="41" max="41" width="10.7109375" customWidth="1"/>
    <col min="42" max="42" width="1.7109375" customWidth="1"/>
    <col min="43" max="43" width="10.7109375" customWidth="1"/>
    <col min="44" max="44" width="1.7109375" customWidth="1"/>
    <col min="45" max="45" width="10.7109375" customWidth="1"/>
    <col min="46" max="46" width="1.7109375" customWidth="1"/>
    <col min="47" max="47" width="10.7109375" customWidth="1"/>
    <col min="48" max="48" width="1.7109375" customWidth="1"/>
    <col min="49" max="49" width="10.7109375" customWidth="1"/>
    <col min="50" max="50" width="1.7109375" customWidth="1"/>
    <col min="51" max="51" width="10.7109375" customWidth="1"/>
    <col min="52" max="52" width="1.7109375" customWidth="1"/>
    <col min="53" max="53" width="10.7109375" customWidth="1"/>
    <col min="54" max="54" width="1.7109375" customWidth="1"/>
    <col min="55" max="55" width="10.7109375" customWidth="1"/>
    <col min="56" max="56" width="40.7109375" customWidth="1"/>
    <col min="57" max="57" width="1.7109375" customWidth="1"/>
    <col min="58" max="58" width="11.7109375" customWidth="1"/>
    <col min="59" max="59" width="1.7109375" customWidth="1"/>
    <col min="60" max="60" width="11.7109375" customWidth="1"/>
    <col min="61" max="61" width="1.7109375" customWidth="1"/>
    <col min="62" max="62" width="11.7109375" customWidth="1"/>
    <col min="63" max="63" width="1.7109375" hidden="1" customWidth="1"/>
    <col min="64" max="64" width="11.7109375" hidden="1" customWidth="1"/>
    <col min="65" max="65" width="1.7109375" customWidth="1"/>
    <col min="66" max="66" width="11.7109375" customWidth="1"/>
    <col min="67" max="67" width="1.7109375" customWidth="1"/>
    <col min="68" max="68" width="11.7109375" customWidth="1"/>
    <col min="69" max="69" width="1.7109375" customWidth="1"/>
    <col min="70" max="70" width="11.7109375" customWidth="1"/>
    <col min="71" max="71" width="1.7109375" customWidth="1"/>
    <col min="72" max="72" width="11.7109375" customWidth="1"/>
    <col min="73" max="73" width="1.7109375" customWidth="1"/>
    <col min="74" max="74" width="11.7109375" customWidth="1"/>
    <col min="75" max="75" width="1.7109375" customWidth="1"/>
    <col min="76" max="76" width="11.7109375" customWidth="1"/>
    <col min="77" max="77" width="1.7109375" customWidth="1"/>
    <col min="78" max="78" width="11.7109375" customWidth="1"/>
    <col min="79" max="79" width="1.7109375" customWidth="1"/>
    <col min="80" max="80" width="11.7109375" customWidth="1"/>
    <col min="81" max="81" width="1.7109375" customWidth="1"/>
  </cols>
  <sheetData>
    <row r="1" spans="1:87" s="3" customFormat="1" ht="12">
      <c r="A1" s="34" t="s">
        <v>351</v>
      </c>
      <c r="B1" s="34"/>
      <c r="C1" s="34"/>
      <c r="D1" s="34"/>
      <c r="E1" s="34"/>
      <c r="F1" s="34"/>
      <c r="G1" s="34"/>
      <c r="H1" s="34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34" t="s">
        <v>351</v>
      </c>
      <c r="AD1" s="34"/>
      <c r="AE1" s="34"/>
      <c r="AF1" s="34"/>
      <c r="AG1" s="6"/>
      <c r="AH1" s="6"/>
      <c r="AI1" s="6"/>
      <c r="AJ1" s="6"/>
      <c r="AK1" s="6"/>
      <c r="AL1" s="34"/>
      <c r="AM1" s="6"/>
      <c r="AN1" s="6"/>
      <c r="AO1" s="6"/>
      <c r="AP1" s="6"/>
      <c r="AQ1" s="6"/>
      <c r="AR1" s="6"/>
      <c r="AS1" s="6"/>
      <c r="AT1" s="6"/>
      <c r="AU1" s="6"/>
      <c r="AV1" s="6"/>
      <c r="AW1" s="32"/>
      <c r="BD1" s="34" t="s">
        <v>351</v>
      </c>
      <c r="BE1" s="34"/>
      <c r="BF1" s="34"/>
    </row>
    <row r="2" spans="1:87" s="3" customFormat="1" ht="12">
      <c r="A2" s="34" t="s">
        <v>391</v>
      </c>
      <c r="B2" s="34"/>
      <c r="C2" s="34"/>
      <c r="D2" s="34"/>
      <c r="E2" s="34"/>
      <c r="F2" s="34"/>
      <c r="G2" s="34"/>
      <c r="H2" s="34"/>
      <c r="I2" s="33"/>
      <c r="J2" s="3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34" t="s">
        <v>391</v>
      </c>
      <c r="AD2" s="34"/>
      <c r="AE2" s="34"/>
      <c r="AF2" s="34"/>
      <c r="AG2" s="6"/>
      <c r="AH2" s="6"/>
      <c r="AI2" s="6"/>
      <c r="AJ2" s="6"/>
      <c r="AK2" s="6"/>
      <c r="AL2" s="34"/>
      <c r="AM2" s="6"/>
      <c r="AN2" s="6"/>
      <c r="AO2" s="6"/>
      <c r="AP2" s="6"/>
      <c r="AQ2" s="6"/>
      <c r="AR2" s="6"/>
      <c r="AS2" s="6"/>
      <c r="AT2" s="6"/>
      <c r="AU2" s="6"/>
      <c r="AV2" s="6"/>
      <c r="AW2" s="32"/>
      <c r="BD2" s="34" t="s">
        <v>391</v>
      </c>
      <c r="BE2" s="34"/>
      <c r="BF2" s="34"/>
    </row>
    <row r="3" spans="1:87" s="3" customFormat="1" ht="12">
      <c r="A3" s="3" t="s">
        <v>348</v>
      </c>
      <c r="B3" s="34"/>
      <c r="C3" s="34"/>
      <c r="D3" s="34"/>
      <c r="E3" s="34"/>
      <c r="F3" s="34"/>
      <c r="G3" s="34"/>
      <c r="H3" s="34"/>
      <c r="I3" s="33"/>
      <c r="J3" s="3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" t="s">
        <v>348</v>
      </c>
      <c r="AD3" s="34"/>
      <c r="AE3" s="34"/>
      <c r="AF3" s="34"/>
      <c r="AG3" s="6"/>
      <c r="AH3" s="6"/>
      <c r="AI3" s="6"/>
      <c r="AJ3" s="6"/>
      <c r="AK3" s="6"/>
      <c r="AL3" s="34"/>
      <c r="AM3" s="6"/>
      <c r="AN3" s="6"/>
      <c r="AO3" s="6"/>
      <c r="AP3" s="6"/>
      <c r="AQ3" s="6"/>
      <c r="AR3" s="6"/>
      <c r="AS3" s="6"/>
      <c r="AT3" s="6"/>
      <c r="AU3" s="6"/>
      <c r="AV3" s="6"/>
      <c r="AW3" s="32"/>
      <c r="BD3" s="3" t="s">
        <v>348</v>
      </c>
      <c r="BE3" s="34"/>
      <c r="BF3" s="34"/>
    </row>
    <row r="4" spans="1:87" s="2" customFormat="1" ht="12.75" customHeight="1">
      <c r="A4" s="18" t="s">
        <v>349</v>
      </c>
      <c r="B4" s="28"/>
      <c r="C4" s="28"/>
      <c r="D4" s="28"/>
      <c r="E4" s="28"/>
      <c r="F4" s="2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8" t="s">
        <v>349</v>
      </c>
      <c r="AD4" s="28"/>
      <c r="AE4" s="28"/>
      <c r="AF4" s="28"/>
      <c r="AG4" s="6"/>
      <c r="AH4" s="6"/>
      <c r="AI4" s="6"/>
      <c r="AJ4" s="6"/>
      <c r="AK4" s="6"/>
      <c r="AL4" s="28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D4" s="18" t="s">
        <v>349</v>
      </c>
      <c r="BE4" s="28"/>
      <c r="BF4" s="28"/>
    </row>
    <row r="5" spans="1:87" s="2" customFormat="1" ht="12.75" customHeight="1">
      <c r="A5" s="3"/>
      <c r="B5" s="28"/>
      <c r="C5" s="28"/>
      <c r="D5" s="28"/>
      <c r="E5" s="28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D5" s="28"/>
      <c r="AE5" s="28"/>
      <c r="AF5" s="28"/>
      <c r="AG5" s="6"/>
      <c r="AH5" s="6"/>
      <c r="AI5" s="6"/>
      <c r="AJ5" s="6"/>
      <c r="AK5" s="6"/>
      <c r="AL5" s="28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BE5" s="28"/>
      <c r="BF5" s="28"/>
    </row>
    <row r="6" spans="1:87" s="2" customFormat="1" ht="12">
      <c r="B6" s="3"/>
      <c r="C6" s="3"/>
      <c r="D6" s="3"/>
      <c r="E6" s="3"/>
      <c r="F6" s="3"/>
      <c r="G6" s="20" t="s">
        <v>60</v>
      </c>
      <c r="H6" s="20"/>
      <c r="I6" s="20"/>
      <c r="J6" s="20"/>
      <c r="K6" s="20"/>
      <c r="L6" s="20"/>
      <c r="M6" s="20"/>
      <c r="O6" s="119" t="s">
        <v>61</v>
      </c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D6" s="3"/>
      <c r="AE6" s="3"/>
      <c r="AF6" s="3"/>
      <c r="AG6" s="20" t="s">
        <v>61</v>
      </c>
      <c r="AH6" s="68"/>
      <c r="AI6" s="68"/>
      <c r="AJ6" s="68"/>
      <c r="AK6" s="68"/>
      <c r="AL6" s="3"/>
      <c r="AM6" s="67" t="s">
        <v>378</v>
      </c>
      <c r="AN6" s="20"/>
      <c r="AO6" s="67" t="s">
        <v>47</v>
      </c>
      <c r="AW6" s="20" t="s">
        <v>119</v>
      </c>
      <c r="AX6" s="20"/>
      <c r="AY6" s="20"/>
      <c r="BE6" s="3"/>
      <c r="BF6" s="3"/>
      <c r="BH6" s="20" t="s">
        <v>120</v>
      </c>
      <c r="BI6" s="20"/>
      <c r="BJ6" s="20"/>
      <c r="BK6" s="20"/>
      <c r="BL6" s="20"/>
      <c r="BM6" s="20"/>
      <c r="BN6" s="20"/>
      <c r="BP6" s="7" t="s">
        <v>9</v>
      </c>
      <c r="BQ6" s="7"/>
      <c r="BR6" s="7" t="s">
        <v>121</v>
      </c>
      <c r="BS6" s="7"/>
      <c r="BT6" s="7" t="s">
        <v>99</v>
      </c>
      <c r="BU6" s="7"/>
      <c r="BV6" s="7" t="s">
        <v>316</v>
      </c>
      <c r="BW6" s="7"/>
      <c r="BX6" s="7" t="s">
        <v>99</v>
      </c>
      <c r="BY6" s="7"/>
      <c r="BZ6" s="7" t="s">
        <v>5</v>
      </c>
    </row>
    <row r="7" spans="1:87" s="7" customFormat="1" ht="12">
      <c r="A7" s="83"/>
      <c r="AA7" s="7" t="s">
        <v>62</v>
      </c>
      <c r="BL7" s="7" t="s">
        <v>300</v>
      </c>
      <c r="BN7" s="7" t="s">
        <v>122</v>
      </c>
      <c r="BP7" s="7" t="s">
        <v>123</v>
      </c>
      <c r="BR7" s="7" t="s">
        <v>124</v>
      </c>
      <c r="BT7" s="7" t="s">
        <v>125</v>
      </c>
      <c r="BV7" s="7" t="s">
        <v>315</v>
      </c>
      <c r="BX7" s="7" t="s">
        <v>125</v>
      </c>
      <c r="BZ7" s="7" t="s">
        <v>12</v>
      </c>
    </row>
    <row r="8" spans="1:87" s="7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 t="s">
        <v>65</v>
      </c>
      <c r="R8" s="8"/>
      <c r="S8" s="8" t="s">
        <v>66</v>
      </c>
      <c r="T8" s="8"/>
      <c r="U8" s="8"/>
      <c r="V8" s="8"/>
      <c r="W8" s="8"/>
      <c r="X8" s="8"/>
      <c r="Y8" s="8"/>
      <c r="Z8" s="8"/>
      <c r="AA8" s="8" t="s">
        <v>67</v>
      </c>
      <c r="AB8" s="8"/>
      <c r="AC8" s="8"/>
      <c r="AD8" s="8"/>
      <c r="AE8" s="8"/>
      <c r="AF8" s="8"/>
      <c r="AG8" s="8" t="s">
        <v>68</v>
      </c>
      <c r="AH8" s="8"/>
      <c r="AI8" s="8"/>
      <c r="AJ8" s="8"/>
      <c r="AK8" s="8"/>
      <c r="AL8" s="8"/>
      <c r="AM8" s="7" t="s">
        <v>69</v>
      </c>
      <c r="AQ8" s="7" t="s">
        <v>70</v>
      </c>
      <c r="AS8" s="7" t="s">
        <v>7</v>
      </c>
      <c r="AU8" s="7" t="s">
        <v>107</v>
      </c>
      <c r="AW8" s="7" t="s">
        <v>126</v>
      </c>
      <c r="BC8" s="7" t="s">
        <v>9</v>
      </c>
      <c r="BD8" s="8"/>
      <c r="BE8" s="8"/>
      <c r="BF8" s="8"/>
      <c r="BH8" s="7" t="s">
        <v>71</v>
      </c>
      <c r="BJ8" s="7" t="s">
        <v>127</v>
      </c>
      <c r="BL8" s="7" t="s">
        <v>301</v>
      </c>
      <c r="BN8" s="7" t="s">
        <v>89</v>
      </c>
      <c r="BP8" s="7" t="s">
        <v>44</v>
      </c>
      <c r="BR8" s="7" t="s">
        <v>99</v>
      </c>
      <c r="BT8" s="8" t="s">
        <v>74</v>
      </c>
      <c r="BV8" s="7" t="s">
        <v>299</v>
      </c>
      <c r="BX8" s="8" t="s">
        <v>128</v>
      </c>
      <c r="BZ8" s="7" t="s">
        <v>129</v>
      </c>
    </row>
    <row r="9" spans="1:87" s="7" customFormat="1" ht="12">
      <c r="A9" s="105" t="s">
        <v>434</v>
      </c>
      <c r="C9" s="4" t="s">
        <v>13</v>
      </c>
      <c r="E9" s="4" t="s">
        <v>14</v>
      </c>
      <c r="F9" s="12"/>
      <c r="G9" s="44" t="s">
        <v>361</v>
      </c>
      <c r="I9" s="44" t="s">
        <v>77</v>
      </c>
      <c r="K9" s="44" t="s">
        <v>78</v>
      </c>
      <c r="M9" s="44" t="s">
        <v>89</v>
      </c>
      <c r="O9" s="44" t="s">
        <v>79</v>
      </c>
      <c r="Q9" s="44" t="s">
        <v>80</v>
      </c>
      <c r="S9" s="44" t="s">
        <v>81</v>
      </c>
      <c r="U9" s="44" t="s">
        <v>82</v>
      </c>
      <c r="W9" s="44" t="s">
        <v>83</v>
      </c>
      <c r="X9" s="12"/>
      <c r="Y9" s="11" t="s">
        <v>84</v>
      </c>
      <c r="AA9" s="44" t="s">
        <v>85</v>
      </c>
      <c r="AB9" s="12"/>
      <c r="AC9" s="113" t="s">
        <v>434</v>
      </c>
      <c r="AE9" s="4" t="s">
        <v>13</v>
      </c>
      <c r="AG9" s="11" t="s">
        <v>86</v>
      </c>
      <c r="AH9" s="12"/>
      <c r="AI9" s="11" t="s">
        <v>87</v>
      </c>
      <c r="AK9" s="4" t="s">
        <v>89</v>
      </c>
      <c r="AM9" s="4" t="s">
        <v>88</v>
      </c>
      <c r="AO9" s="4" t="s">
        <v>89</v>
      </c>
      <c r="AP9" s="8"/>
      <c r="AQ9" s="4" t="s">
        <v>54</v>
      </c>
      <c r="AR9" s="8"/>
      <c r="AS9" s="4" t="s">
        <v>130</v>
      </c>
      <c r="AT9" s="8"/>
      <c r="AU9" s="4" t="s">
        <v>112</v>
      </c>
      <c r="AV9" s="8"/>
      <c r="AW9" s="4" t="s">
        <v>131</v>
      </c>
      <c r="AX9" s="8"/>
      <c r="AY9" s="4" t="s">
        <v>90</v>
      </c>
      <c r="AZ9" s="8"/>
      <c r="BA9" s="4" t="s">
        <v>137</v>
      </c>
      <c r="BB9" s="8"/>
      <c r="BC9" s="4" t="s">
        <v>123</v>
      </c>
      <c r="BD9" s="113" t="s">
        <v>434</v>
      </c>
      <c r="BF9" s="4" t="s">
        <v>13</v>
      </c>
      <c r="BG9" s="8"/>
      <c r="BH9" s="4" t="s">
        <v>91</v>
      </c>
      <c r="BI9" s="8"/>
      <c r="BJ9" s="4" t="s">
        <v>91</v>
      </c>
      <c r="BK9" s="8"/>
      <c r="BL9" s="4" t="s">
        <v>308</v>
      </c>
      <c r="BM9" s="8"/>
      <c r="BN9" s="4" t="s">
        <v>132</v>
      </c>
      <c r="BO9" s="8"/>
      <c r="BP9" s="4" t="s">
        <v>133</v>
      </c>
      <c r="BQ9" s="8"/>
      <c r="BR9" s="4" t="s">
        <v>125</v>
      </c>
      <c r="BT9" s="4" t="s">
        <v>94</v>
      </c>
      <c r="BV9" s="4" t="s">
        <v>298</v>
      </c>
      <c r="BX9" s="4" t="s">
        <v>94</v>
      </c>
      <c r="BZ9" s="4" t="s">
        <v>22</v>
      </c>
    </row>
    <row r="10" spans="1:87" s="7" customFormat="1" ht="12">
      <c r="A10" s="8"/>
      <c r="C10" s="8"/>
      <c r="E10" s="8"/>
      <c r="F10" s="12"/>
      <c r="G10" s="12"/>
      <c r="I10" s="12"/>
      <c r="K10" s="12"/>
      <c r="M10" s="12"/>
      <c r="O10" s="12"/>
      <c r="Q10" s="12"/>
      <c r="S10" s="12"/>
      <c r="U10" s="12"/>
      <c r="W10" s="12"/>
      <c r="X10" s="12"/>
      <c r="Y10" s="12"/>
      <c r="AA10" s="12"/>
      <c r="AB10" s="12"/>
      <c r="AC10" s="8"/>
      <c r="AE10" s="8"/>
      <c r="AG10" s="12"/>
      <c r="AH10" s="12"/>
      <c r="AI10" s="12"/>
      <c r="AK10" s="8"/>
      <c r="AM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T10" s="8"/>
      <c r="BV10" s="8"/>
      <c r="BX10" s="8"/>
      <c r="BZ10" s="8"/>
    </row>
    <row r="11" spans="1:87">
      <c r="A11" s="54" t="s">
        <v>346</v>
      </c>
      <c r="AC11" s="54" t="s">
        <v>346</v>
      </c>
      <c r="BD11" s="54" t="s">
        <v>346</v>
      </c>
    </row>
    <row r="12" spans="1:87" s="65" customFormat="1" hidden="1">
      <c r="A12" s="13" t="s">
        <v>399</v>
      </c>
      <c r="B12" s="13"/>
      <c r="C12" s="13" t="s">
        <v>365</v>
      </c>
      <c r="G12" s="81">
        <v>369599</v>
      </c>
      <c r="H12" s="81"/>
      <c r="I12" s="81">
        <v>128993</v>
      </c>
      <c r="J12" s="81"/>
      <c r="K12" s="81">
        <v>5925631</v>
      </c>
      <c r="L12" s="81"/>
      <c r="M12" s="81">
        <v>2090698</v>
      </c>
      <c r="N12" s="81"/>
      <c r="O12" s="81">
        <v>682001</v>
      </c>
      <c r="P12" s="81"/>
      <c r="Q12" s="81">
        <v>1271548</v>
      </c>
      <c r="R12" s="81"/>
      <c r="S12" s="81">
        <v>49270</v>
      </c>
      <c r="T12" s="81"/>
      <c r="U12" s="81">
        <v>834113</v>
      </c>
      <c r="V12" s="81"/>
      <c r="W12" s="81">
        <v>459867</v>
      </c>
      <c r="X12" s="81"/>
      <c r="Y12" s="81">
        <v>0</v>
      </c>
      <c r="Z12" s="81"/>
      <c r="AA12" s="81">
        <v>1099802</v>
      </c>
      <c r="AB12" s="81"/>
      <c r="AC12" s="13" t="s">
        <v>366</v>
      </c>
      <c r="AD12" s="13"/>
      <c r="AE12" s="13" t="s">
        <v>365</v>
      </c>
      <c r="AG12" s="81">
        <v>14913</v>
      </c>
      <c r="AH12" s="81"/>
      <c r="AI12" s="81">
        <v>374918</v>
      </c>
      <c r="AJ12" s="81"/>
      <c r="AK12" s="81">
        <v>0</v>
      </c>
      <c r="AM12" s="81">
        <v>0</v>
      </c>
      <c r="AN12" s="81"/>
      <c r="AO12" s="81">
        <v>311469</v>
      </c>
      <c r="AP12" s="81"/>
      <c r="AQ12" s="81">
        <v>20291</v>
      </c>
      <c r="AR12" s="81"/>
      <c r="AS12" s="81">
        <v>852281</v>
      </c>
      <c r="AT12" s="81"/>
      <c r="AU12" s="81">
        <v>0</v>
      </c>
      <c r="AV12" s="81"/>
      <c r="AW12" s="81">
        <v>0</v>
      </c>
      <c r="AX12" s="81"/>
      <c r="AY12" s="81">
        <v>160504</v>
      </c>
      <c r="AZ12" s="81"/>
      <c r="BA12" s="81">
        <v>0</v>
      </c>
      <c r="BB12" s="81"/>
      <c r="BC12" s="82">
        <f>SUM(G12:BA12)</f>
        <v>14645898</v>
      </c>
      <c r="BD12" s="13" t="s">
        <v>366</v>
      </c>
      <c r="BE12" s="13"/>
      <c r="BF12" s="13" t="s">
        <v>365</v>
      </c>
      <c r="BG12" s="81"/>
      <c r="BH12" s="81">
        <v>0</v>
      </c>
      <c r="BI12" s="81"/>
      <c r="BJ12" s="81">
        <v>0</v>
      </c>
      <c r="BK12" s="81"/>
      <c r="BL12" s="81">
        <v>0</v>
      </c>
      <c r="BM12" s="81"/>
      <c r="BN12" s="81">
        <v>0</v>
      </c>
      <c r="BO12" s="81"/>
      <c r="BP12" s="82">
        <f t="shared" ref="BP12:BP43" si="0">+BC12+BH12+BJ12+BN12+BL12</f>
        <v>14645898</v>
      </c>
      <c r="BQ12" s="81"/>
      <c r="BR12" s="82">
        <f>GovRev!AX12-BP12</f>
        <v>1036431</v>
      </c>
      <c r="BS12" s="81"/>
      <c r="BT12" s="81">
        <v>5311369</v>
      </c>
      <c r="BU12" s="81"/>
      <c r="BV12" s="81">
        <v>0</v>
      </c>
      <c r="BW12" s="81"/>
      <c r="BX12" s="82">
        <f>+BT12+BR12+BV12</f>
        <v>6347800</v>
      </c>
      <c r="BY12" s="82"/>
      <c r="BZ12" s="82">
        <f>-BX12+GovBS!AC12</f>
        <v>0</v>
      </c>
      <c r="CA12" s="81"/>
      <c r="CB12" s="60" t="s">
        <v>400</v>
      </c>
      <c r="CC12" s="81"/>
      <c r="CD12" s="81"/>
      <c r="CE12" s="81"/>
      <c r="CF12" s="81"/>
      <c r="CG12" s="81"/>
      <c r="CH12" s="81"/>
      <c r="CI12" s="81"/>
    </row>
    <row r="13" spans="1:87" s="81" customFormat="1">
      <c r="A13" s="81" t="s">
        <v>323</v>
      </c>
      <c r="C13" s="81" t="s">
        <v>155</v>
      </c>
      <c r="E13" s="89">
        <v>62042</v>
      </c>
      <c r="G13" s="81">
        <v>550888</v>
      </c>
      <c r="I13" s="81">
        <v>266741</v>
      </c>
      <c r="K13" s="81">
        <v>2826879</v>
      </c>
      <c r="M13" s="81">
        <f>1167158+8253+1447</f>
        <v>1176858</v>
      </c>
      <c r="O13" s="81">
        <v>157534</v>
      </c>
      <c r="Q13" s="81">
        <v>196013</v>
      </c>
      <c r="S13" s="81">
        <v>71902</v>
      </c>
      <c r="U13" s="81">
        <v>655263</v>
      </c>
      <c r="W13" s="81">
        <v>390640</v>
      </c>
      <c r="Y13" s="81">
        <v>4609</v>
      </c>
      <c r="AA13" s="81">
        <v>477766</v>
      </c>
      <c r="AC13" s="13" t="s">
        <v>323</v>
      </c>
      <c r="AD13" s="13"/>
      <c r="AE13" s="13" t="s">
        <v>155</v>
      </c>
      <c r="AF13" s="65"/>
      <c r="AG13" s="81">
        <v>5583</v>
      </c>
      <c r="AI13" s="81">
        <v>63214</v>
      </c>
      <c r="AL13" s="65"/>
      <c r="AM13" s="81">
        <v>135464</v>
      </c>
      <c r="AO13" s="81">
        <v>141240</v>
      </c>
      <c r="AQ13" s="81">
        <v>24345</v>
      </c>
      <c r="AS13" s="81">
        <v>224623</v>
      </c>
      <c r="AU13" s="81">
        <v>0</v>
      </c>
      <c r="AW13" s="81">
        <v>134435</v>
      </c>
      <c r="AY13" s="81">
        <v>51175</v>
      </c>
      <c r="BA13" s="81">
        <v>0</v>
      </c>
      <c r="BC13" s="82">
        <f>SUM(G13:BA13)</f>
        <v>7555172</v>
      </c>
      <c r="BD13" s="13" t="s">
        <v>323</v>
      </c>
      <c r="BE13" s="13"/>
      <c r="BF13" s="13" t="s">
        <v>155</v>
      </c>
      <c r="BH13" s="81">
        <v>51412</v>
      </c>
      <c r="BJ13" s="81">
        <v>0</v>
      </c>
      <c r="BN13" s="81">
        <v>0</v>
      </c>
      <c r="BP13" s="82">
        <f t="shared" si="0"/>
        <v>7606584</v>
      </c>
      <c r="BR13" s="82">
        <f>GovRev!AX13-BP13</f>
        <v>528207</v>
      </c>
      <c r="BT13" s="81">
        <v>4326578</v>
      </c>
      <c r="BV13" s="81">
        <v>0</v>
      </c>
      <c r="BX13" s="82">
        <f>+BT13+BR13+BV13</f>
        <v>4854785</v>
      </c>
      <c r="BY13" s="82"/>
      <c r="BZ13" s="82">
        <f>-BX13+GovBS!AC13</f>
        <v>0</v>
      </c>
      <c r="CA13" s="60"/>
      <c r="CB13" s="13" t="s">
        <v>401</v>
      </c>
      <c r="CC13" s="60"/>
      <c r="CD13" s="60"/>
      <c r="CE13" s="60"/>
      <c r="CF13" s="60"/>
      <c r="CG13" s="60"/>
      <c r="CH13" s="60"/>
    </row>
    <row r="14" spans="1:87" s="60" customFormat="1" ht="12">
      <c r="A14" s="13" t="s">
        <v>265</v>
      </c>
      <c r="C14" s="60" t="s">
        <v>156</v>
      </c>
      <c r="E14" s="60">
        <v>50815</v>
      </c>
      <c r="G14" s="13">
        <v>772759</v>
      </c>
      <c r="H14" s="13"/>
      <c r="I14" s="13">
        <v>351116</v>
      </c>
      <c r="J14" s="13"/>
      <c r="K14" s="13">
        <v>7457622</v>
      </c>
      <c r="L14" s="13"/>
      <c r="M14" s="13">
        <f>320932+325991</f>
        <v>646923</v>
      </c>
      <c r="N14" s="13"/>
      <c r="O14" s="13">
        <v>593317</v>
      </c>
      <c r="P14" s="13"/>
      <c r="Q14" s="13">
        <v>1407272</v>
      </c>
      <c r="R14" s="13"/>
      <c r="S14" s="13">
        <v>60700</v>
      </c>
      <c r="T14" s="13"/>
      <c r="U14" s="13">
        <v>1202901</v>
      </c>
      <c r="V14" s="13"/>
      <c r="W14" s="13">
        <v>402929</v>
      </c>
      <c r="X14" s="13"/>
      <c r="Y14" s="13">
        <v>84375</v>
      </c>
      <c r="Z14" s="13"/>
      <c r="AA14" s="13">
        <v>1068808</v>
      </c>
      <c r="AB14" s="13"/>
      <c r="AC14" s="13" t="s">
        <v>265</v>
      </c>
      <c r="AE14" s="60" t="s">
        <v>156</v>
      </c>
      <c r="AG14" s="13">
        <v>34473</v>
      </c>
      <c r="AH14" s="13"/>
      <c r="AI14" s="13">
        <v>30222</v>
      </c>
      <c r="AJ14" s="13"/>
      <c r="AK14" s="13"/>
      <c r="AM14" s="13">
        <v>269802</v>
      </c>
      <c r="AN14" s="13"/>
      <c r="AO14" s="13">
        <v>2091</v>
      </c>
      <c r="AP14" s="13"/>
      <c r="AQ14" s="13">
        <v>31695</v>
      </c>
      <c r="AR14" s="13"/>
      <c r="AS14" s="13">
        <v>180182</v>
      </c>
      <c r="AT14" s="13"/>
      <c r="AU14" s="13">
        <v>0</v>
      </c>
      <c r="AV14" s="13"/>
      <c r="AW14" s="13">
        <v>0</v>
      </c>
      <c r="AX14" s="13"/>
      <c r="AY14" s="13">
        <v>0</v>
      </c>
      <c r="AZ14" s="13"/>
      <c r="BA14" s="13">
        <v>0</v>
      </c>
      <c r="BB14" s="13"/>
      <c r="BC14" s="64">
        <f>SUM(G14:BA14)</f>
        <v>14597187</v>
      </c>
      <c r="BD14" s="13" t="s">
        <v>265</v>
      </c>
      <c r="BF14" s="60" t="s">
        <v>156</v>
      </c>
      <c r="BG14" s="13"/>
      <c r="BH14" s="13">
        <v>28016</v>
      </c>
      <c r="BI14" s="13"/>
      <c r="BJ14" s="13">
        <v>0</v>
      </c>
      <c r="BK14" s="13"/>
      <c r="BL14" s="13"/>
      <c r="BM14" s="13"/>
      <c r="BN14" s="13">
        <v>0</v>
      </c>
      <c r="BO14" s="13"/>
      <c r="BP14" s="64">
        <f t="shared" si="0"/>
        <v>14625203</v>
      </c>
      <c r="BQ14" s="13"/>
      <c r="BR14" s="64">
        <f>GovRev!AX14-BP14</f>
        <v>290294</v>
      </c>
      <c r="BS14" s="13"/>
      <c r="BT14" s="13">
        <v>11495602</v>
      </c>
      <c r="BU14" s="13"/>
      <c r="BV14" s="13">
        <v>0</v>
      </c>
      <c r="BW14" s="13"/>
      <c r="BX14" s="64">
        <f>+BT14+BR14+BV14</f>
        <v>11785896</v>
      </c>
      <c r="BY14" s="64"/>
      <c r="BZ14" s="64">
        <f>-BX14+GovBS!AC14</f>
        <v>0</v>
      </c>
      <c r="CB14" s="13" t="s">
        <v>401</v>
      </c>
    </row>
    <row r="15" spans="1:87" s="60" customFormat="1" ht="12">
      <c r="A15" s="13" t="s">
        <v>277</v>
      </c>
      <c r="C15" s="60" t="s">
        <v>158</v>
      </c>
      <c r="E15" s="60">
        <v>51169</v>
      </c>
      <c r="G15" s="13">
        <v>333473</v>
      </c>
      <c r="H15" s="13"/>
      <c r="I15" s="13">
        <v>3581573</v>
      </c>
      <c r="J15" s="13"/>
      <c r="K15" s="13">
        <v>0</v>
      </c>
      <c r="L15" s="13"/>
      <c r="M15" s="13">
        <v>1151481</v>
      </c>
      <c r="N15" s="13"/>
      <c r="O15" s="13">
        <v>1032488</v>
      </c>
      <c r="P15" s="13"/>
      <c r="Q15" s="13">
        <v>438167</v>
      </c>
      <c r="R15" s="13"/>
      <c r="S15" s="13">
        <v>64673</v>
      </c>
      <c r="T15" s="13"/>
      <c r="U15" s="13">
        <v>1781165</v>
      </c>
      <c r="V15" s="13"/>
      <c r="W15" s="13">
        <v>570369</v>
      </c>
      <c r="X15" s="13"/>
      <c r="Y15" s="13">
        <v>92</v>
      </c>
      <c r="Z15" s="13"/>
      <c r="AA15" s="13">
        <v>1650033</v>
      </c>
      <c r="AB15" s="13"/>
      <c r="AC15" s="13" t="s">
        <v>277</v>
      </c>
      <c r="AE15" s="60" t="s">
        <v>158</v>
      </c>
      <c r="AG15" s="13">
        <v>12832</v>
      </c>
      <c r="AH15" s="13"/>
      <c r="AI15" s="13">
        <v>566612</v>
      </c>
      <c r="AJ15" s="13"/>
      <c r="AK15" s="13"/>
      <c r="AM15" s="13">
        <v>0</v>
      </c>
      <c r="AN15" s="13"/>
      <c r="AO15" s="13">
        <v>187542</v>
      </c>
      <c r="AP15" s="13"/>
      <c r="AQ15" s="13">
        <v>360</v>
      </c>
      <c r="AR15" s="13"/>
      <c r="AS15" s="13">
        <v>265608</v>
      </c>
      <c r="AT15" s="13"/>
      <c r="AU15" s="13">
        <v>0</v>
      </c>
      <c r="AV15" s="13"/>
      <c r="AW15" s="13">
        <v>0</v>
      </c>
      <c r="AX15" s="13"/>
      <c r="AY15" s="13">
        <v>0</v>
      </c>
      <c r="AZ15" s="13"/>
      <c r="BA15" s="13">
        <v>0</v>
      </c>
      <c r="BB15" s="13"/>
      <c r="BC15" s="64">
        <f t="shared" ref="BC15:BC62" si="1">SUM(G15:BA15)</f>
        <v>11636468</v>
      </c>
      <c r="BD15" s="13" t="s">
        <v>277</v>
      </c>
      <c r="BF15" s="60" t="s">
        <v>158</v>
      </c>
      <c r="BG15" s="13"/>
      <c r="BH15" s="13">
        <v>25000</v>
      </c>
      <c r="BI15" s="13"/>
      <c r="BJ15" s="13">
        <v>0</v>
      </c>
      <c r="BK15" s="13"/>
      <c r="BL15" s="13"/>
      <c r="BM15" s="13"/>
      <c r="BN15" s="13">
        <v>0</v>
      </c>
      <c r="BO15" s="13"/>
      <c r="BP15" s="64">
        <f t="shared" si="0"/>
        <v>11661468</v>
      </c>
      <c r="BQ15" s="13"/>
      <c r="BR15" s="64">
        <f>GovRev!AX15-BP15</f>
        <v>466992</v>
      </c>
      <c r="BS15" s="13"/>
      <c r="BT15" s="13">
        <v>4739666</v>
      </c>
      <c r="BU15" s="13"/>
      <c r="BV15" s="13">
        <v>0</v>
      </c>
      <c r="BW15" s="13"/>
      <c r="BX15" s="64">
        <f t="shared" ref="BX15:BX78" si="2">+BT15+BR15+BV15</f>
        <v>5206658</v>
      </c>
      <c r="BY15" s="64"/>
      <c r="BZ15" s="64">
        <f>-BX15+GovBS!AC15</f>
        <v>0</v>
      </c>
      <c r="CB15" s="13" t="s">
        <v>401</v>
      </c>
    </row>
    <row r="16" spans="1:87" s="60" customFormat="1" ht="12">
      <c r="A16" s="13" t="s">
        <v>267</v>
      </c>
      <c r="C16" s="60" t="s">
        <v>162</v>
      </c>
      <c r="E16" s="60">
        <v>50856</v>
      </c>
      <c r="G16" s="13">
        <v>296663</v>
      </c>
      <c r="H16" s="13"/>
      <c r="I16" s="13">
        <v>0</v>
      </c>
      <c r="J16" s="13"/>
      <c r="K16" s="13">
        <v>3998089</v>
      </c>
      <c r="L16" s="13"/>
      <c r="M16" s="13">
        <v>89427</v>
      </c>
      <c r="N16" s="13"/>
      <c r="O16" s="13">
        <v>912412</v>
      </c>
      <c r="P16" s="13"/>
      <c r="Q16" s="13">
        <v>130499</v>
      </c>
      <c r="R16" s="13"/>
      <c r="S16" s="13">
        <v>31658</v>
      </c>
      <c r="T16" s="13"/>
      <c r="U16" s="13">
        <v>560413</v>
      </c>
      <c r="V16" s="13"/>
      <c r="W16" s="13">
        <v>290052</v>
      </c>
      <c r="X16" s="13"/>
      <c r="Y16" s="13">
        <v>0</v>
      </c>
      <c r="Z16" s="13"/>
      <c r="AA16" s="13">
        <v>631914</v>
      </c>
      <c r="AB16" s="13"/>
      <c r="AC16" s="13" t="s">
        <v>267</v>
      </c>
      <c r="AE16" s="60" t="s">
        <v>162</v>
      </c>
      <c r="AG16" s="13">
        <v>0</v>
      </c>
      <c r="AH16" s="13"/>
      <c r="AI16" s="13">
        <v>173769</v>
      </c>
      <c r="AJ16" s="13"/>
      <c r="AK16" s="13"/>
      <c r="AM16" s="13">
        <v>192197</v>
      </c>
      <c r="AN16" s="13"/>
      <c r="AO16" s="13">
        <v>0</v>
      </c>
      <c r="AP16" s="13"/>
      <c r="AQ16" s="13">
        <v>33663</v>
      </c>
      <c r="AR16" s="13"/>
      <c r="AS16" s="13">
        <v>0</v>
      </c>
      <c r="AT16" s="13"/>
      <c r="AU16" s="13">
        <v>0</v>
      </c>
      <c r="AV16" s="13"/>
      <c r="AW16" s="13">
        <v>33333</v>
      </c>
      <c r="AX16" s="13"/>
      <c r="AY16" s="13">
        <v>0</v>
      </c>
      <c r="AZ16" s="13"/>
      <c r="BA16" s="13">
        <v>0</v>
      </c>
      <c r="BB16" s="13"/>
      <c r="BC16" s="64">
        <f t="shared" si="1"/>
        <v>7374089</v>
      </c>
      <c r="BD16" s="13" t="s">
        <v>267</v>
      </c>
      <c r="BF16" s="60" t="s">
        <v>162</v>
      </c>
      <c r="BG16" s="13"/>
      <c r="BH16" s="13">
        <v>0</v>
      </c>
      <c r="BI16" s="13"/>
      <c r="BJ16" s="13">
        <v>0</v>
      </c>
      <c r="BK16" s="13"/>
      <c r="BL16" s="13"/>
      <c r="BM16" s="13"/>
      <c r="BN16" s="13">
        <v>0</v>
      </c>
      <c r="BO16" s="13"/>
      <c r="BP16" s="64">
        <f t="shared" si="0"/>
        <v>7374089</v>
      </c>
      <c r="BQ16" s="13"/>
      <c r="BR16" s="64">
        <f>GovRev!AX16-BP16</f>
        <v>-551575</v>
      </c>
      <c r="BS16" s="13"/>
      <c r="BT16" s="13">
        <v>835403</v>
      </c>
      <c r="BU16" s="13"/>
      <c r="BV16" s="13">
        <v>0</v>
      </c>
      <c r="BW16" s="13"/>
      <c r="BX16" s="64">
        <f t="shared" si="2"/>
        <v>283828</v>
      </c>
      <c r="BY16" s="64"/>
      <c r="BZ16" s="64">
        <f>-BX16+GovBS!AC16</f>
        <v>0</v>
      </c>
      <c r="CB16" s="13" t="s">
        <v>401</v>
      </c>
    </row>
    <row r="17" spans="1:80" s="19" customFormat="1" ht="12">
      <c r="A17" s="13" t="s">
        <v>290</v>
      </c>
      <c r="C17" s="19" t="s">
        <v>254</v>
      </c>
      <c r="E17" s="19">
        <v>51656</v>
      </c>
      <c r="G17" s="2">
        <v>1317029</v>
      </c>
      <c r="H17" s="2"/>
      <c r="I17" s="2">
        <v>395569</v>
      </c>
      <c r="J17" s="2"/>
      <c r="K17" s="2">
        <v>5908452</v>
      </c>
      <c r="L17" s="2"/>
      <c r="M17" s="2">
        <v>1452033</v>
      </c>
      <c r="N17" s="2"/>
      <c r="O17" s="2">
        <v>778500</v>
      </c>
      <c r="P17" s="2"/>
      <c r="Q17" s="2">
        <v>645100</v>
      </c>
      <c r="R17" s="2"/>
      <c r="S17" s="2">
        <v>83599</v>
      </c>
      <c r="T17" s="2"/>
      <c r="U17" s="2">
        <v>656250</v>
      </c>
      <c r="V17" s="2"/>
      <c r="W17" s="2">
        <v>629470</v>
      </c>
      <c r="X17" s="2"/>
      <c r="Y17" s="2">
        <v>0</v>
      </c>
      <c r="Z17" s="2"/>
      <c r="AA17" s="2">
        <v>1435924</v>
      </c>
      <c r="AB17" s="2"/>
      <c r="AC17" s="13" t="s">
        <v>290</v>
      </c>
      <c r="AE17" s="19" t="s">
        <v>254</v>
      </c>
      <c r="AG17" s="2">
        <v>76654</v>
      </c>
      <c r="AH17" s="2"/>
      <c r="AI17" s="2">
        <v>143365</v>
      </c>
      <c r="AJ17" s="2"/>
      <c r="AK17" s="2"/>
      <c r="AM17" s="2">
        <v>415970</v>
      </c>
      <c r="AN17" s="2"/>
      <c r="AO17" s="2">
        <v>3066</v>
      </c>
      <c r="AP17" s="2"/>
      <c r="AQ17" s="2">
        <v>5428</v>
      </c>
      <c r="AR17" s="2"/>
      <c r="AS17" s="2">
        <v>148368</v>
      </c>
      <c r="AT17" s="2"/>
      <c r="AU17" s="2">
        <v>0</v>
      </c>
      <c r="AV17" s="2"/>
      <c r="AW17" s="2">
        <v>35181</v>
      </c>
      <c r="AX17" s="2"/>
      <c r="AY17" s="2">
        <v>7915</v>
      </c>
      <c r="AZ17" s="2"/>
      <c r="BA17" s="2">
        <v>99585</v>
      </c>
      <c r="BB17" s="2"/>
      <c r="BC17" s="36">
        <f t="shared" si="1"/>
        <v>14237458</v>
      </c>
      <c r="BD17" s="13" t="s">
        <v>290</v>
      </c>
      <c r="BF17" s="19" t="s">
        <v>254</v>
      </c>
      <c r="BG17" s="2"/>
      <c r="BH17" s="2">
        <v>45500</v>
      </c>
      <c r="BI17" s="2"/>
      <c r="BJ17" s="2">
        <v>0</v>
      </c>
      <c r="BK17" s="2"/>
      <c r="BL17" s="2"/>
      <c r="BM17" s="2"/>
      <c r="BN17" s="2">
        <v>0</v>
      </c>
      <c r="BO17" s="2"/>
      <c r="BP17" s="36">
        <f t="shared" si="0"/>
        <v>14282958</v>
      </c>
      <c r="BQ17" s="2"/>
      <c r="BR17" s="36">
        <f>GovRev!AX17-BP17</f>
        <v>1709414</v>
      </c>
      <c r="BS17" s="2"/>
      <c r="BT17" s="2">
        <v>14606345</v>
      </c>
      <c r="BU17" s="2"/>
      <c r="BV17" s="2">
        <v>0</v>
      </c>
      <c r="BW17" s="2"/>
      <c r="BX17" s="36">
        <f t="shared" si="2"/>
        <v>16315759</v>
      </c>
      <c r="BY17" s="36"/>
      <c r="BZ17" s="36">
        <f>-BX17+GovBS!AC17</f>
        <v>0</v>
      </c>
    </row>
    <row r="18" spans="1:80" s="19" customFormat="1" ht="12">
      <c r="A18" s="13" t="s">
        <v>388</v>
      </c>
      <c r="C18" s="19" t="s">
        <v>159</v>
      </c>
      <c r="E18" s="19">
        <v>50880</v>
      </c>
      <c r="G18" s="2">
        <v>488922</v>
      </c>
      <c r="H18" s="2"/>
      <c r="I18" s="2">
        <v>23082264</v>
      </c>
      <c r="J18" s="2"/>
      <c r="K18" s="2">
        <v>195574</v>
      </c>
      <c r="L18" s="2"/>
      <c r="M18" s="2">
        <v>0</v>
      </c>
      <c r="N18" s="2"/>
      <c r="O18" s="2">
        <v>1396176</v>
      </c>
      <c r="P18" s="2"/>
      <c r="Q18" s="2">
        <v>2448480</v>
      </c>
      <c r="R18" s="2"/>
      <c r="S18" s="2">
        <v>97081</v>
      </c>
      <c r="T18" s="2"/>
      <c r="U18" s="2">
        <v>2734848</v>
      </c>
      <c r="V18" s="2"/>
      <c r="W18" s="2">
        <v>1135140</v>
      </c>
      <c r="X18" s="2"/>
      <c r="Y18" s="2">
        <v>72477</v>
      </c>
      <c r="Z18" s="2"/>
      <c r="AA18" s="2">
        <v>3331443</v>
      </c>
      <c r="AB18" s="2"/>
      <c r="AC18" s="13" t="s">
        <v>322</v>
      </c>
      <c r="AE18" s="19" t="s">
        <v>159</v>
      </c>
      <c r="AG18" s="2">
        <v>39125</v>
      </c>
      <c r="AH18" s="2"/>
      <c r="AI18" s="2">
        <v>3016627</v>
      </c>
      <c r="AJ18" s="2"/>
      <c r="AK18" s="2"/>
      <c r="AM18" s="2">
        <v>0</v>
      </c>
      <c r="AN18" s="2"/>
      <c r="AO18" s="2">
        <v>101971</v>
      </c>
      <c r="AP18" s="2"/>
      <c r="AQ18" s="2">
        <v>338883</v>
      </c>
      <c r="AR18" s="2"/>
      <c r="AS18" s="2">
        <v>3452267</v>
      </c>
      <c r="AT18" s="2"/>
      <c r="AU18" s="2">
        <v>0</v>
      </c>
      <c r="AV18" s="2"/>
      <c r="AW18" s="2">
        <v>0</v>
      </c>
      <c r="AX18" s="2"/>
      <c r="AY18" s="2">
        <v>112300</v>
      </c>
      <c r="AZ18" s="2"/>
      <c r="BA18" s="2">
        <v>0</v>
      </c>
      <c r="BB18" s="2"/>
      <c r="BC18" s="36">
        <f t="shared" si="1"/>
        <v>42043578</v>
      </c>
      <c r="BD18" s="13" t="s">
        <v>322</v>
      </c>
      <c r="BF18" s="19" t="s">
        <v>159</v>
      </c>
      <c r="BG18" s="2"/>
      <c r="BH18" s="2">
        <v>1925610</v>
      </c>
      <c r="BI18" s="2"/>
      <c r="BJ18" s="2">
        <v>0</v>
      </c>
      <c r="BK18" s="2"/>
      <c r="BL18" s="2"/>
      <c r="BM18" s="2"/>
      <c r="BN18" s="2">
        <v>0</v>
      </c>
      <c r="BO18" s="2"/>
      <c r="BP18" s="36">
        <f t="shared" si="0"/>
        <v>43969188</v>
      </c>
      <c r="BQ18" s="2"/>
      <c r="BR18" s="36">
        <f>GovRev!AX18-BP18</f>
        <v>3517925</v>
      </c>
      <c r="BS18" s="2"/>
      <c r="BT18" s="2">
        <v>9252999</v>
      </c>
      <c r="BU18" s="2"/>
      <c r="BV18" s="2">
        <v>0</v>
      </c>
      <c r="BW18" s="2"/>
      <c r="BX18" s="36">
        <f t="shared" si="2"/>
        <v>12770924</v>
      </c>
      <c r="BY18" s="36"/>
      <c r="BZ18" s="36">
        <f>-BX18+GovBS!AC18</f>
        <v>0</v>
      </c>
    </row>
    <row r="19" spans="1:80" s="60" customFormat="1" ht="12" hidden="1">
      <c r="A19" s="17" t="s">
        <v>396</v>
      </c>
      <c r="C19" s="60" t="s">
        <v>282</v>
      </c>
      <c r="E19" s="60">
        <v>63511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281</v>
      </c>
      <c r="AE19" s="60" t="s">
        <v>282</v>
      </c>
      <c r="AG19" s="13"/>
      <c r="AH19" s="13"/>
      <c r="AI19" s="13"/>
      <c r="AJ19" s="13"/>
      <c r="AK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64">
        <f t="shared" si="1"/>
        <v>0</v>
      </c>
      <c r="BD19" s="17" t="s">
        <v>396</v>
      </c>
      <c r="BF19" s="60" t="s">
        <v>282</v>
      </c>
      <c r="BG19" s="13"/>
      <c r="BH19" s="13"/>
      <c r="BI19" s="13"/>
      <c r="BJ19" s="13">
        <v>0</v>
      </c>
      <c r="BK19" s="13"/>
      <c r="BL19" s="13"/>
      <c r="BM19" s="13"/>
      <c r="BN19" s="13">
        <v>0</v>
      </c>
      <c r="BO19" s="13"/>
      <c r="BP19" s="64">
        <f t="shared" si="0"/>
        <v>0</v>
      </c>
      <c r="BQ19" s="13"/>
      <c r="BR19" s="64">
        <f>GovRev!AX19-BP19</f>
        <v>0</v>
      </c>
      <c r="BS19" s="13"/>
      <c r="BT19" s="13"/>
      <c r="BU19" s="13"/>
      <c r="BV19" s="13">
        <v>0</v>
      </c>
      <c r="BW19" s="13"/>
      <c r="BX19" s="64">
        <f t="shared" si="2"/>
        <v>0</v>
      </c>
      <c r="BY19" s="64"/>
      <c r="BZ19" s="64">
        <f>-BX19+GovBS!AC19</f>
        <v>0</v>
      </c>
      <c r="CB19" s="80" t="s">
        <v>397</v>
      </c>
    </row>
    <row r="20" spans="1:80" s="19" customFormat="1" ht="12">
      <c r="A20" s="13" t="s">
        <v>392</v>
      </c>
      <c r="C20" s="19" t="s">
        <v>175</v>
      </c>
      <c r="E20" s="19">
        <v>50906</v>
      </c>
      <c r="G20" s="2">
        <v>460444</v>
      </c>
      <c r="H20" s="2"/>
      <c r="I20" s="2">
        <v>181527</v>
      </c>
      <c r="J20" s="2"/>
      <c r="K20" s="2">
        <v>2917105</v>
      </c>
      <c r="L20" s="2"/>
      <c r="M20" s="2">
        <v>116622</v>
      </c>
      <c r="N20" s="2"/>
      <c r="O20" s="2">
        <v>342154</v>
      </c>
      <c r="P20" s="2"/>
      <c r="Q20" s="2">
        <v>553663</v>
      </c>
      <c r="R20" s="2"/>
      <c r="S20" s="2">
        <v>22162</v>
      </c>
      <c r="T20" s="2"/>
      <c r="U20" s="2">
        <v>859444</v>
      </c>
      <c r="V20" s="2"/>
      <c r="W20" s="2">
        <v>312817</v>
      </c>
      <c r="X20" s="2"/>
      <c r="Y20" s="2">
        <v>0</v>
      </c>
      <c r="Z20" s="2"/>
      <c r="AA20" s="2">
        <v>774056</v>
      </c>
      <c r="AB20" s="2"/>
      <c r="AC20" s="13" t="s">
        <v>271</v>
      </c>
      <c r="AE20" s="19" t="s">
        <v>175</v>
      </c>
      <c r="AG20" s="2">
        <v>0</v>
      </c>
      <c r="AH20" s="2"/>
      <c r="AI20" s="2">
        <v>66864</v>
      </c>
      <c r="AJ20" s="2"/>
      <c r="AK20" s="2"/>
      <c r="AM20" s="2">
        <v>147180</v>
      </c>
      <c r="AN20" s="2"/>
      <c r="AO20" s="2">
        <v>175</v>
      </c>
      <c r="AP20" s="2"/>
      <c r="AQ20" s="2">
        <v>17131</v>
      </c>
      <c r="AR20" s="2"/>
      <c r="AS20" s="2">
        <v>73354</v>
      </c>
      <c r="AT20" s="2"/>
      <c r="AU20" s="2">
        <v>0</v>
      </c>
      <c r="AV20" s="2"/>
      <c r="AW20" s="2">
        <v>0</v>
      </c>
      <c r="AX20" s="2"/>
      <c r="AY20" s="2">
        <v>0</v>
      </c>
      <c r="AZ20" s="2"/>
      <c r="BA20" s="2">
        <v>0</v>
      </c>
      <c r="BB20" s="2"/>
      <c r="BC20" s="36">
        <f t="shared" si="1"/>
        <v>6844698</v>
      </c>
      <c r="BD20" s="13" t="s">
        <v>271</v>
      </c>
      <c r="BF20" s="19" t="s">
        <v>175</v>
      </c>
      <c r="BG20" s="2"/>
      <c r="BH20" s="2">
        <v>545000</v>
      </c>
      <c r="BI20" s="2"/>
      <c r="BJ20" s="2">
        <v>0</v>
      </c>
      <c r="BK20" s="2"/>
      <c r="BL20" s="2"/>
      <c r="BM20" s="2"/>
      <c r="BN20" s="2">
        <v>0</v>
      </c>
      <c r="BO20" s="2"/>
      <c r="BP20" s="36">
        <f t="shared" si="0"/>
        <v>7389698</v>
      </c>
      <c r="BQ20" s="2"/>
      <c r="BR20" s="36">
        <f>GovRev!AX20-BP20</f>
        <v>455602</v>
      </c>
      <c r="BS20" s="2"/>
      <c r="BT20" s="2">
        <v>3950863</v>
      </c>
      <c r="BU20" s="2"/>
      <c r="BV20" s="2">
        <v>0</v>
      </c>
      <c r="BW20" s="2"/>
      <c r="BX20" s="36">
        <f t="shared" si="2"/>
        <v>4406465</v>
      </c>
      <c r="BY20" s="36"/>
      <c r="BZ20" s="36">
        <f>-BX20+GovBS!AC20</f>
        <v>0</v>
      </c>
    </row>
    <row r="21" spans="1:80" s="19" customFormat="1" ht="12">
      <c r="A21" s="13" t="s">
        <v>328</v>
      </c>
      <c r="C21" s="19" t="s">
        <v>272</v>
      </c>
      <c r="E21" s="19">
        <v>65227</v>
      </c>
      <c r="G21" s="2">
        <v>550644</v>
      </c>
      <c r="H21" s="2"/>
      <c r="I21" s="2">
        <v>82037</v>
      </c>
      <c r="J21" s="2"/>
      <c r="K21" s="2">
        <v>1677049</v>
      </c>
      <c r="L21" s="2"/>
      <c r="M21" s="2">
        <v>0</v>
      </c>
      <c r="N21" s="2"/>
      <c r="O21" s="2">
        <v>181410</v>
      </c>
      <c r="P21" s="2"/>
      <c r="Q21" s="2">
        <v>225342</v>
      </c>
      <c r="R21" s="2"/>
      <c r="S21" s="2">
        <v>43779</v>
      </c>
      <c r="T21" s="2"/>
      <c r="U21" s="2">
        <v>233457</v>
      </c>
      <c r="V21" s="2"/>
      <c r="W21" s="2">
        <v>177470</v>
      </c>
      <c r="X21" s="2"/>
      <c r="Y21" s="2">
        <v>45772</v>
      </c>
      <c r="Z21" s="2"/>
      <c r="AA21" s="2">
        <v>394500</v>
      </c>
      <c r="AB21" s="2"/>
      <c r="AC21" s="13" t="s">
        <v>328</v>
      </c>
      <c r="AE21" s="19" t="s">
        <v>272</v>
      </c>
      <c r="AG21" s="2">
        <v>1414</v>
      </c>
      <c r="AH21" s="2"/>
      <c r="AI21" s="2">
        <v>15475</v>
      </c>
      <c r="AJ21" s="2"/>
      <c r="AK21" s="2"/>
      <c r="AM21" s="2">
        <v>103769</v>
      </c>
      <c r="AN21" s="2"/>
      <c r="AO21" s="2">
        <v>0</v>
      </c>
      <c r="AP21" s="2"/>
      <c r="AQ21" s="2">
        <v>15283</v>
      </c>
      <c r="AR21" s="2"/>
      <c r="AS21" s="2">
        <v>0</v>
      </c>
      <c r="AT21" s="2"/>
      <c r="AU21" s="2">
        <v>0</v>
      </c>
      <c r="AV21" s="2"/>
      <c r="AW21" s="2">
        <v>54848</v>
      </c>
      <c r="AX21" s="2"/>
      <c r="AY21" s="2">
        <v>12268</v>
      </c>
      <c r="AZ21" s="2"/>
      <c r="BA21" s="2">
        <v>0</v>
      </c>
      <c r="BB21" s="2"/>
      <c r="BC21" s="36">
        <f t="shared" si="1"/>
        <v>3814517</v>
      </c>
      <c r="BD21" s="13" t="s">
        <v>328</v>
      </c>
      <c r="BF21" s="19" t="s">
        <v>272</v>
      </c>
      <c r="BG21" s="2"/>
      <c r="BH21" s="2">
        <v>0</v>
      </c>
      <c r="BI21" s="2"/>
      <c r="BJ21" s="2">
        <v>0</v>
      </c>
      <c r="BK21" s="2"/>
      <c r="BL21" s="2"/>
      <c r="BM21" s="2"/>
      <c r="BN21" s="2">
        <v>0</v>
      </c>
      <c r="BO21" s="2"/>
      <c r="BP21" s="36">
        <f t="shared" si="0"/>
        <v>3814517</v>
      </c>
      <c r="BQ21" s="2"/>
      <c r="BR21" s="36">
        <f>GovRev!AX21-BP21</f>
        <v>80463</v>
      </c>
      <c r="BS21" s="2"/>
      <c r="BT21" s="2">
        <v>10828</v>
      </c>
      <c r="BU21" s="2"/>
      <c r="BV21" s="2">
        <v>0</v>
      </c>
      <c r="BW21" s="2"/>
      <c r="BX21" s="36">
        <f t="shared" si="2"/>
        <v>91291</v>
      </c>
      <c r="BY21" s="36"/>
      <c r="BZ21" s="36">
        <f>-BX21+GovBS!AC21</f>
        <v>0</v>
      </c>
    </row>
    <row r="22" spans="1:80" s="60" customFormat="1" ht="12">
      <c r="A22" s="13" t="s">
        <v>403</v>
      </c>
      <c r="C22" s="60" t="s">
        <v>207</v>
      </c>
      <c r="E22" s="60">
        <v>51201</v>
      </c>
      <c r="G22" s="13">
        <v>157990</v>
      </c>
      <c r="H22" s="13"/>
      <c r="I22" s="13">
        <v>529981</v>
      </c>
      <c r="J22" s="13"/>
      <c r="K22" s="13">
        <v>6272740</v>
      </c>
      <c r="L22" s="13"/>
      <c r="M22" s="13">
        <v>1854124</v>
      </c>
      <c r="N22" s="13"/>
      <c r="O22" s="13">
        <v>647836</v>
      </c>
      <c r="P22" s="13"/>
      <c r="Q22" s="13">
        <v>1112416</v>
      </c>
      <c r="R22" s="13"/>
      <c r="S22" s="13">
        <v>19462</v>
      </c>
      <c r="T22" s="13"/>
      <c r="U22" s="13">
        <v>1038261</v>
      </c>
      <c r="V22" s="13"/>
      <c r="W22" s="13">
        <v>434523</v>
      </c>
      <c r="X22" s="13"/>
      <c r="Y22" s="13">
        <v>395171</v>
      </c>
      <c r="Z22" s="13"/>
      <c r="AA22" s="13">
        <v>1923416</v>
      </c>
      <c r="AB22" s="13"/>
      <c r="AC22" s="13" t="s">
        <v>403</v>
      </c>
      <c r="AE22" s="60" t="s">
        <v>207</v>
      </c>
      <c r="AG22" s="13">
        <v>13577</v>
      </c>
      <c r="AH22" s="13"/>
      <c r="AI22" s="13">
        <v>1755599</v>
      </c>
      <c r="AJ22" s="13"/>
      <c r="AK22" s="13"/>
      <c r="AM22" s="13">
        <v>0</v>
      </c>
      <c r="AN22" s="13"/>
      <c r="AO22" s="13">
        <v>295468</v>
      </c>
      <c r="AP22" s="13"/>
      <c r="AQ22" s="13">
        <v>89779</v>
      </c>
      <c r="AR22" s="13"/>
      <c r="AS22" s="13">
        <v>116845</v>
      </c>
      <c r="AT22" s="13"/>
      <c r="AU22" s="13">
        <v>0</v>
      </c>
      <c r="AV22" s="13"/>
      <c r="AW22" s="13">
        <v>5842922</v>
      </c>
      <c r="AX22" s="13"/>
      <c r="AY22" s="13">
        <f>1409911+19248</f>
        <v>1429159</v>
      </c>
      <c r="AZ22" s="13"/>
      <c r="BA22" s="13">
        <v>0</v>
      </c>
      <c r="BB22" s="13"/>
      <c r="BC22" s="64">
        <f t="shared" si="1"/>
        <v>23929269</v>
      </c>
      <c r="BD22" s="13" t="s">
        <v>403</v>
      </c>
      <c r="BF22" s="60" t="s">
        <v>207</v>
      </c>
      <c r="BG22" s="13"/>
      <c r="BH22" s="13">
        <v>89601</v>
      </c>
      <c r="BI22" s="13"/>
      <c r="BJ22" s="13">
        <v>0</v>
      </c>
      <c r="BK22" s="13"/>
      <c r="BL22" s="13"/>
      <c r="BM22" s="13"/>
      <c r="BN22" s="13">
        <v>0</v>
      </c>
      <c r="BO22" s="13"/>
      <c r="BP22" s="64">
        <f t="shared" si="0"/>
        <v>24018870</v>
      </c>
      <c r="BQ22" s="13"/>
      <c r="BR22" s="64">
        <f>GovRev!AX22-BP22</f>
        <v>-1797474</v>
      </c>
      <c r="BS22" s="13"/>
      <c r="BT22" s="13">
        <v>4263430</v>
      </c>
      <c r="BU22" s="13"/>
      <c r="BV22" s="13">
        <v>0</v>
      </c>
      <c r="BW22" s="13"/>
      <c r="BX22" s="64">
        <f t="shared" si="2"/>
        <v>2465956</v>
      </c>
      <c r="BY22" s="64"/>
      <c r="BZ22" s="64">
        <f>-BX22+GovBS!AC22</f>
        <v>0</v>
      </c>
      <c r="CB22" s="13" t="s">
        <v>401</v>
      </c>
    </row>
    <row r="23" spans="1:80" s="19" customFormat="1" ht="12">
      <c r="A23" s="2" t="s">
        <v>325</v>
      </c>
      <c r="C23" s="19" t="s">
        <v>177</v>
      </c>
      <c r="E23" s="19">
        <v>50922</v>
      </c>
      <c r="G23" s="2">
        <v>695375</v>
      </c>
      <c r="H23" s="2"/>
      <c r="I23" s="2">
        <v>227506</v>
      </c>
      <c r="J23" s="2"/>
      <c r="K23" s="2">
        <v>4566248</v>
      </c>
      <c r="L23" s="2"/>
      <c r="M23" s="2">
        <v>1639898</v>
      </c>
      <c r="N23" s="2"/>
      <c r="O23" s="2">
        <v>641722</v>
      </c>
      <c r="P23" s="2"/>
      <c r="Q23" s="2">
        <v>1487108</v>
      </c>
      <c r="R23" s="2"/>
      <c r="S23" s="2">
        <v>35825</v>
      </c>
      <c r="T23" s="2"/>
      <c r="U23" s="2">
        <v>1995655</v>
      </c>
      <c r="V23" s="2"/>
      <c r="W23" s="2">
        <v>790865</v>
      </c>
      <c r="X23" s="2"/>
      <c r="Y23" s="2">
        <v>824560</v>
      </c>
      <c r="Z23" s="2"/>
      <c r="AA23" s="2">
        <v>1502130</v>
      </c>
      <c r="AB23" s="2"/>
      <c r="AC23" s="2" t="s">
        <v>325</v>
      </c>
      <c r="AE23" s="19" t="s">
        <v>177</v>
      </c>
      <c r="AG23" s="2">
        <v>23635</v>
      </c>
      <c r="AH23" s="2"/>
      <c r="AI23" s="2">
        <v>329429</v>
      </c>
      <c r="AJ23" s="2"/>
      <c r="AK23" s="2"/>
      <c r="AM23" s="2">
        <v>202087</v>
      </c>
      <c r="AN23" s="2"/>
      <c r="AO23" s="2">
        <v>1760</v>
      </c>
      <c r="AP23" s="2"/>
      <c r="AQ23" s="2">
        <v>75829</v>
      </c>
      <c r="AR23" s="2"/>
      <c r="AS23" s="2">
        <v>1840277</v>
      </c>
      <c r="AT23" s="2"/>
      <c r="AU23" s="2">
        <v>123020</v>
      </c>
      <c r="AV23" s="2"/>
      <c r="AW23" s="2">
        <v>0</v>
      </c>
      <c r="AX23" s="2"/>
      <c r="AY23" s="2">
        <v>0</v>
      </c>
      <c r="AZ23" s="2"/>
      <c r="BA23" s="2">
        <v>1909578</v>
      </c>
      <c r="BB23" s="2"/>
      <c r="BC23" s="36">
        <f t="shared" si="1"/>
        <v>18912507</v>
      </c>
      <c r="BD23" s="2" t="s">
        <v>325</v>
      </c>
      <c r="BF23" s="19" t="s">
        <v>177</v>
      </c>
      <c r="BG23" s="2"/>
      <c r="BH23" s="2">
        <v>2899859</v>
      </c>
      <c r="BI23" s="2"/>
      <c r="BJ23" s="2">
        <v>0</v>
      </c>
      <c r="BK23" s="2"/>
      <c r="BL23" s="2"/>
      <c r="BM23" s="2"/>
      <c r="BN23" s="2">
        <v>0</v>
      </c>
      <c r="BO23" s="2"/>
      <c r="BP23" s="36">
        <f t="shared" si="0"/>
        <v>21812366</v>
      </c>
      <c r="BQ23" s="2"/>
      <c r="BR23" s="36">
        <f>GovRev!AX23-BP23</f>
        <v>-452603</v>
      </c>
      <c r="BS23" s="2"/>
      <c r="BT23" s="2">
        <v>15902796</v>
      </c>
      <c r="BU23" s="2"/>
      <c r="BV23" s="2">
        <v>-420</v>
      </c>
      <c r="BW23" s="2"/>
      <c r="BX23" s="36">
        <f t="shared" si="2"/>
        <v>15449773</v>
      </c>
      <c r="BY23" s="36"/>
      <c r="BZ23" s="36">
        <f>-BX23+GovBS!AC23</f>
        <v>0</v>
      </c>
    </row>
    <row r="24" spans="1:80" s="19" customFormat="1" ht="12">
      <c r="A24" s="2" t="s">
        <v>324</v>
      </c>
      <c r="C24" s="19" t="s">
        <v>181</v>
      </c>
      <c r="E24" s="19">
        <v>50989</v>
      </c>
      <c r="G24" s="2">
        <v>1107268</v>
      </c>
      <c r="H24" s="2"/>
      <c r="I24" s="2">
        <v>0</v>
      </c>
      <c r="J24" s="2"/>
      <c r="K24" s="2">
        <v>5945250</v>
      </c>
      <c r="L24" s="2"/>
      <c r="M24" s="2">
        <v>748246</v>
      </c>
      <c r="N24" s="2"/>
      <c r="O24" s="2">
        <v>869073</v>
      </c>
      <c r="P24" s="2"/>
      <c r="Q24" s="2">
        <v>1098261</v>
      </c>
      <c r="R24" s="2"/>
      <c r="S24" s="2">
        <v>134530</v>
      </c>
      <c r="T24" s="2"/>
      <c r="U24" s="2">
        <v>1268211</v>
      </c>
      <c r="V24" s="2"/>
      <c r="W24" s="2">
        <v>704060</v>
      </c>
      <c r="X24" s="2"/>
      <c r="Y24" s="2">
        <v>0</v>
      </c>
      <c r="Z24" s="2"/>
      <c r="AA24" s="2">
        <v>1454791</v>
      </c>
      <c r="AB24" s="2"/>
      <c r="AC24" s="2" t="s">
        <v>324</v>
      </c>
      <c r="AE24" s="19" t="s">
        <v>181</v>
      </c>
      <c r="AG24" s="2">
        <v>23756</v>
      </c>
      <c r="AH24" s="2"/>
      <c r="AI24" s="2">
        <v>892259</v>
      </c>
      <c r="AJ24" s="2"/>
      <c r="AK24" s="2"/>
      <c r="AM24" s="2">
        <v>200050</v>
      </c>
      <c r="AN24" s="2"/>
      <c r="AO24" s="2">
        <v>6530</v>
      </c>
      <c r="AP24" s="2"/>
      <c r="AQ24" s="2">
        <v>36440</v>
      </c>
      <c r="AR24" s="2"/>
      <c r="AS24" s="2">
        <v>672215</v>
      </c>
      <c r="AT24" s="2"/>
      <c r="AU24" s="2">
        <v>0</v>
      </c>
      <c r="AV24" s="2"/>
      <c r="AW24" s="2">
        <v>46027</v>
      </c>
      <c r="AX24" s="2"/>
      <c r="AY24" s="2">
        <v>505</v>
      </c>
      <c r="AZ24" s="2"/>
      <c r="BA24" s="2">
        <v>0</v>
      </c>
      <c r="BB24" s="2"/>
      <c r="BC24" s="36">
        <f t="shared" si="1"/>
        <v>15207472</v>
      </c>
      <c r="BD24" s="2" t="s">
        <v>324</v>
      </c>
      <c r="BF24" s="19" t="s">
        <v>181</v>
      </c>
      <c r="BG24" s="2"/>
      <c r="BH24" s="2">
        <v>508698</v>
      </c>
      <c r="BI24" s="2"/>
      <c r="BJ24" s="2">
        <v>0</v>
      </c>
      <c r="BK24" s="2"/>
      <c r="BL24" s="2"/>
      <c r="BM24" s="2"/>
      <c r="BN24" s="2">
        <v>0</v>
      </c>
      <c r="BO24" s="2"/>
      <c r="BP24" s="36">
        <f t="shared" si="0"/>
        <v>15716170</v>
      </c>
      <c r="BQ24" s="2"/>
      <c r="BR24" s="36">
        <f>GovRev!AX24-BP24</f>
        <v>2813033</v>
      </c>
      <c r="BS24" s="2"/>
      <c r="BT24" s="2">
        <v>12412443</v>
      </c>
      <c r="BU24" s="2"/>
      <c r="BV24" s="2">
        <v>0</v>
      </c>
      <c r="BW24" s="2"/>
      <c r="BX24" s="36">
        <f t="shared" si="2"/>
        <v>15225476</v>
      </c>
      <c r="BY24" s="36"/>
      <c r="BZ24" s="36">
        <f>-BX24+GovBS!AC24</f>
        <v>0</v>
      </c>
    </row>
    <row r="25" spans="1:80" s="19" customFormat="1" ht="12">
      <c r="A25" s="2" t="s">
        <v>326</v>
      </c>
      <c r="C25" s="19" t="s">
        <v>186</v>
      </c>
      <c r="E25" s="19">
        <v>51003</v>
      </c>
      <c r="G25" s="2">
        <v>3346039</v>
      </c>
      <c r="H25" s="2"/>
      <c r="I25" s="2">
        <v>1271624</v>
      </c>
      <c r="J25" s="2"/>
      <c r="K25" s="2">
        <v>6313176</v>
      </c>
      <c r="L25" s="2"/>
      <c r="M25" s="2">
        <v>785459</v>
      </c>
      <c r="N25" s="2"/>
      <c r="O25" s="2">
        <v>783696</v>
      </c>
      <c r="P25" s="2"/>
      <c r="Q25" s="2">
        <v>473195</v>
      </c>
      <c r="R25" s="2"/>
      <c r="S25" s="2">
        <v>21989</v>
      </c>
      <c r="T25" s="2"/>
      <c r="U25" s="2">
        <v>2746783</v>
      </c>
      <c r="V25" s="2"/>
      <c r="W25" s="2">
        <v>740126</v>
      </c>
      <c r="X25" s="2"/>
      <c r="Y25" s="2">
        <v>156036</v>
      </c>
      <c r="Z25" s="2"/>
      <c r="AA25" s="2">
        <v>2619833</v>
      </c>
      <c r="AB25" s="2"/>
      <c r="AC25" s="2" t="s">
        <v>326</v>
      </c>
      <c r="AE25" s="19" t="s">
        <v>186</v>
      </c>
      <c r="AG25" s="2">
        <v>39106</v>
      </c>
      <c r="AH25" s="2"/>
      <c r="AI25" s="2">
        <v>529255</v>
      </c>
      <c r="AJ25" s="2"/>
      <c r="AK25" s="2"/>
      <c r="AM25" s="2">
        <v>0</v>
      </c>
      <c r="AN25" s="2"/>
      <c r="AO25" s="2">
        <v>357982</v>
      </c>
      <c r="AP25" s="2"/>
      <c r="AQ25" s="2">
        <v>30645</v>
      </c>
      <c r="AR25" s="2"/>
      <c r="AS25" s="2">
        <v>521154</v>
      </c>
      <c r="AT25" s="2"/>
      <c r="AU25" s="2">
        <v>0</v>
      </c>
      <c r="AV25" s="2"/>
      <c r="AW25" s="2">
        <v>186649</v>
      </c>
      <c r="AX25" s="2"/>
      <c r="AY25" s="2">
        <v>26039</v>
      </c>
      <c r="AZ25" s="2"/>
      <c r="BA25" s="2">
        <v>0</v>
      </c>
      <c r="BB25" s="2"/>
      <c r="BC25" s="36">
        <f t="shared" si="1"/>
        <v>20948786</v>
      </c>
      <c r="BD25" s="2" t="s">
        <v>326</v>
      </c>
      <c r="BF25" s="19" t="s">
        <v>186</v>
      </c>
      <c r="BG25" s="2"/>
      <c r="BH25" s="2">
        <v>256352</v>
      </c>
      <c r="BI25" s="2"/>
      <c r="BJ25" s="13">
        <v>0</v>
      </c>
      <c r="BK25" s="2"/>
      <c r="BL25" s="2"/>
      <c r="BM25" s="2"/>
      <c r="BN25" s="2">
        <v>0</v>
      </c>
      <c r="BO25" s="2"/>
      <c r="BP25" s="36">
        <f t="shared" si="0"/>
        <v>21205138</v>
      </c>
      <c r="BQ25" s="2"/>
      <c r="BR25" s="36">
        <f>GovRev!AX25-BP25</f>
        <v>2491851</v>
      </c>
      <c r="BS25" s="2"/>
      <c r="BT25" s="2">
        <v>20830631</v>
      </c>
      <c r="BU25" s="2"/>
      <c r="BV25" s="2">
        <v>0</v>
      </c>
      <c r="BW25" s="2"/>
      <c r="BX25" s="36">
        <f t="shared" si="2"/>
        <v>23322482</v>
      </c>
      <c r="BY25" s="36"/>
      <c r="BZ25" s="36">
        <f>-BX25+GovBS!AC25</f>
        <v>0</v>
      </c>
    </row>
    <row r="26" spans="1:80" s="60" customFormat="1" ht="12">
      <c r="A26" s="13" t="s">
        <v>327</v>
      </c>
      <c r="C26" s="60" t="s">
        <v>183</v>
      </c>
      <c r="E26" s="60">
        <v>51029</v>
      </c>
      <c r="G26" s="13">
        <v>835887</v>
      </c>
      <c r="H26" s="13"/>
      <c r="I26" s="13">
        <v>530204</v>
      </c>
      <c r="J26" s="13"/>
      <c r="K26" s="13">
        <v>5146339</v>
      </c>
      <c r="L26" s="13"/>
      <c r="M26" s="13">
        <v>3352072</v>
      </c>
      <c r="N26" s="13"/>
      <c r="O26" s="13">
        <v>1123953</v>
      </c>
      <c r="P26" s="13"/>
      <c r="Q26" s="13">
        <v>227030</v>
      </c>
      <c r="R26" s="13"/>
      <c r="S26" s="13">
        <v>61750</v>
      </c>
      <c r="T26" s="13"/>
      <c r="U26" s="13">
        <v>1926613</v>
      </c>
      <c r="V26" s="13"/>
      <c r="W26" s="13">
        <v>352365</v>
      </c>
      <c r="X26" s="13"/>
      <c r="Y26" s="13">
        <v>232446</v>
      </c>
      <c r="Z26" s="13"/>
      <c r="AA26" s="13">
        <v>1784288</v>
      </c>
      <c r="AB26" s="13"/>
      <c r="AC26" s="13" t="s">
        <v>327</v>
      </c>
      <c r="AE26" s="60" t="s">
        <v>183</v>
      </c>
      <c r="AG26" s="13">
        <v>19820</v>
      </c>
      <c r="AH26" s="13"/>
      <c r="AI26" s="13">
        <v>440233</v>
      </c>
      <c r="AJ26" s="13"/>
      <c r="AK26" s="13"/>
      <c r="AM26" s="13">
        <v>304866</v>
      </c>
      <c r="AN26" s="13"/>
      <c r="AO26" s="13">
        <v>1700</v>
      </c>
      <c r="AP26" s="13"/>
      <c r="AQ26" s="13">
        <v>0</v>
      </c>
      <c r="AR26" s="13"/>
      <c r="AS26" s="13">
        <v>509224</v>
      </c>
      <c r="AT26" s="13"/>
      <c r="AU26" s="13">
        <v>0</v>
      </c>
      <c r="AV26" s="13"/>
      <c r="AW26" s="13">
        <v>104000</v>
      </c>
      <c r="AX26" s="13"/>
      <c r="AY26" s="13">
        <v>72957</v>
      </c>
      <c r="AZ26" s="13"/>
      <c r="BA26" s="13">
        <v>0</v>
      </c>
      <c r="BB26" s="13"/>
      <c r="BC26" s="64">
        <f t="shared" si="1"/>
        <v>17025747</v>
      </c>
      <c r="BD26" s="13" t="s">
        <v>327</v>
      </c>
      <c r="BF26" s="60" t="s">
        <v>183</v>
      </c>
      <c r="BG26" s="13"/>
      <c r="BH26" s="13">
        <v>161000</v>
      </c>
      <c r="BI26" s="13"/>
      <c r="BJ26" s="2">
        <v>0</v>
      </c>
      <c r="BK26" s="13"/>
      <c r="BL26" s="13"/>
      <c r="BM26" s="13"/>
      <c r="BN26" s="13">
        <v>0</v>
      </c>
      <c r="BO26" s="13"/>
      <c r="BP26" s="64">
        <f t="shared" si="0"/>
        <v>17186747</v>
      </c>
      <c r="BQ26" s="13"/>
      <c r="BR26" s="64">
        <f>GovRev!AX26-BP26</f>
        <v>38696</v>
      </c>
      <c r="BS26" s="13"/>
      <c r="BT26" s="13">
        <v>5559466</v>
      </c>
      <c r="BU26" s="13"/>
      <c r="BV26" s="13">
        <v>30316</v>
      </c>
      <c r="BW26" s="13"/>
      <c r="BX26" s="64">
        <f t="shared" si="2"/>
        <v>5628478</v>
      </c>
      <c r="BY26" s="64"/>
      <c r="BZ26" s="64">
        <f>-BX26+GovBS!AC26</f>
        <v>0</v>
      </c>
      <c r="CB26" s="13" t="s">
        <v>401</v>
      </c>
    </row>
    <row r="27" spans="1:80" s="19" customFormat="1" ht="12">
      <c r="A27" s="2" t="s">
        <v>329</v>
      </c>
      <c r="C27" s="19" t="s">
        <v>275</v>
      </c>
      <c r="E27" s="19">
        <v>50963</v>
      </c>
      <c r="G27" s="2">
        <v>70342</v>
      </c>
      <c r="H27" s="2"/>
      <c r="I27" s="2">
        <v>0</v>
      </c>
      <c r="J27" s="2"/>
      <c r="K27" s="2">
        <v>8530971</v>
      </c>
      <c r="L27" s="2"/>
      <c r="M27" s="2">
        <v>1170886</v>
      </c>
      <c r="N27" s="2"/>
      <c r="O27" s="2">
        <v>1376139</v>
      </c>
      <c r="P27" s="2"/>
      <c r="Q27" s="2">
        <v>631205</v>
      </c>
      <c r="R27" s="2"/>
      <c r="S27" s="2">
        <v>55013</v>
      </c>
      <c r="T27" s="2"/>
      <c r="U27" s="2">
        <v>1390220</v>
      </c>
      <c r="V27" s="2"/>
      <c r="W27" s="2">
        <v>510129</v>
      </c>
      <c r="X27" s="2"/>
      <c r="Y27" s="2">
        <v>74715</v>
      </c>
      <c r="Z27" s="2"/>
      <c r="AA27" s="2">
        <v>1695592</v>
      </c>
      <c r="AB27" s="2"/>
      <c r="AC27" s="2" t="s">
        <v>329</v>
      </c>
      <c r="AE27" s="19" t="s">
        <v>275</v>
      </c>
      <c r="AG27" s="2">
        <v>21102</v>
      </c>
      <c r="AH27" s="2"/>
      <c r="AI27" s="2">
        <v>387863</v>
      </c>
      <c r="AJ27" s="2"/>
      <c r="AK27" s="2"/>
      <c r="AM27" s="2">
        <v>0</v>
      </c>
      <c r="AN27" s="2"/>
      <c r="AO27" s="2">
        <v>481890</v>
      </c>
      <c r="AP27" s="2"/>
      <c r="AQ27" s="2">
        <v>70902</v>
      </c>
      <c r="AR27" s="2"/>
      <c r="AS27" s="2">
        <v>0</v>
      </c>
      <c r="AT27" s="2"/>
      <c r="AU27" s="2">
        <v>0</v>
      </c>
      <c r="AV27" s="2"/>
      <c r="AW27" s="2">
        <v>123862</v>
      </c>
      <c r="AX27" s="2"/>
      <c r="AY27" s="2">
        <v>0</v>
      </c>
      <c r="AZ27" s="2"/>
      <c r="BA27" s="2">
        <v>0</v>
      </c>
      <c r="BB27" s="2"/>
      <c r="BC27" s="36">
        <f t="shared" si="1"/>
        <v>16590831</v>
      </c>
      <c r="BD27" s="2" t="s">
        <v>329</v>
      </c>
      <c r="BF27" s="19" t="s">
        <v>275</v>
      </c>
      <c r="BG27" s="2"/>
      <c r="BH27" s="2">
        <v>50000</v>
      </c>
      <c r="BI27" s="2"/>
      <c r="BJ27" s="2">
        <v>0</v>
      </c>
      <c r="BK27" s="2"/>
      <c r="BL27" s="2"/>
      <c r="BM27" s="2"/>
      <c r="BN27" s="2">
        <v>0</v>
      </c>
      <c r="BO27" s="2"/>
      <c r="BP27" s="36">
        <f t="shared" si="0"/>
        <v>16640831</v>
      </c>
      <c r="BQ27" s="2"/>
      <c r="BR27" s="36">
        <f>GovRev!AX27-BP27</f>
        <v>838595</v>
      </c>
      <c r="BS27" s="2"/>
      <c r="BT27" s="2">
        <v>11196350</v>
      </c>
      <c r="BU27" s="2"/>
      <c r="BV27" s="2">
        <v>0</v>
      </c>
      <c r="BW27" s="2"/>
      <c r="BX27" s="36">
        <f t="shared" si="2"/>
        <v>12034945</v>
      </c>
      <c r="BY27" s="36"/>
      <c r="BZ27" s="36">
        <f>-BX27+GovBS!AC27</f>
        <v>0</v>
      </c>
    </row>
    <row r="28" spans="1:80" s="19" customFormat="1" ht="12">
      <c r="A28" s="2" t="s">
        <v>273</v>
      </c>
      <c r="C28" s="19" t="s">
        <v>189</v>
      </c>
      <c r="E28" s="19">
        <v>62067</v>
      </c>
      <c r="G28" s="2">
        <v>53572</v>
      </c>
      <c r="H28" s="2"/>
      <c r="I28" s="2">
        <v>782249</v>
      </c>
      <c r="J28" s="2"/>
      <c r="K28" s="2">
        <v>4602154</v>
      </c>
      <c r="L28" s="2"/>
      <c r="M28" s="2">
        <v>410146</v>
      </c>
      <c r="N28" s="2"/>
      <c r="O28" s="2">
        <v>402487</v>
      </c>
      <c r="P28" s="2"/>
      <c r="Q28" s="2">
        <v>461717</v>
      </c>
      <c r="R28" s="2"/>
      <c r="S28" s="2">
        <v>75716</v>
      </c>
      <c r="T28" s="2"/>
      <c r="U28" s="2">
        <v>585091</v>
      </c>
      <c r="V28" s="2"/>
      <c r="W28" s="2">
        <v>369087</v>
      </c>
      <c r="X28" s="2"/>
      <c r="Y28" s="2">
        <v>56208</v>
      </c>
      <c r="Z28" s="2"/>
      <c r="AA28" s="2">
        <v>901287</v>
      </c>
      <c r="AB28" s="2"/>
      <c r="AC28" s="2" t="s">
        <v>273</v>
      </c>
      <c r="AE28" s="19" t="s">
        <v>189</v>
      </c>
      <c r="AG28" s="2">
        <v>26207</v>
      </c>
      <c r="AH28" s="2"/>
      <c r="AI28" s="2">
        <v>258212</v>
      </c>
      <c r="AJ28" s="2"/>
      <c r="AK28" s="2"/>
      <c r="AM28" s="2">
        <v>0</v>
      </c>
      <c r="AN28" s="2"/>
      <c r="AO28" s="2">
        <v>171750</v>
      </c>
      <c r="AP28" s="2"/>
      <c r="AQ28" s="2">
        <v>8270</v>
      </c>
      <c r="AR28" s="2"/>
      <c r="AS28" s="2">
        <v>9528077</v>
      </c>
      <c r="AT28" s="2"/>
      <c r="AU28" s="2">
        <v>0</v>
      </c>
      <c r="AV28" s="2"/>
      <c r="AW28" s="2">
        <v>204000</v>
      </c>
      <c r="AX28" s="2"/>
      <c r="AY28" s="2">
        <v>69217</v>
      </c>
      <c r="AZ28" s="2"/>
      <c r="BA28" s="2">
        <v>0</v>
      </c>
      <c r="BB28" s="2"/>
      <c r="BC28" s="36">
        <f t="shared" si="1"/>
        <v>18965447</v>
      </c>
      <c r="BD28" s="2" t="s">
        <v>273</v>
      </c>
      <c r="BF28" s="19" t="s">
        <v>189</v>
      </c>
      <c r="BG28" s="2"/>
      <c r="BH28" s="2">
        <v>185291</v>
      </c>
      <c r="BI28" s="2"/>
      <c r="BJ28" s="13">
        <v>0</v>
      </c>
      <c r="BK28" s="2"/>
      <c r="BL28" s="2"/>
      <c r="BM28" s="2"/>
      <c r="BN28" s="2">
        <v>0</v>
      </c>
      <c r="BO28" s="2"/>
      <c r="BP28" s="36">
        <f t="shared" si="0"/>
        <v>19150738</v>
      </c>
      <c r="BQ28" s="2"/>
      <c r="BR28" s="36">
        <f>GovRev!AX28-BP28</f>
        <v>-1058266</v>
      </c>
      <c r="BS28" s="2"/>
      <c r="BT28" s="2">
        <v>11599293</v>
      </c>
      <c r="BU28" s="2"/>
      <c r="BV28" s="2">
        <v>0</v>
      </c>
      <c r="BW28" s="2"/>
      <c r="BX28" s="36">
        <f t="shared" si="2"/>
        <v>10541027</v>
      </c>
      <c r="BY28" s="36"/>
      <c r="BZ28" s="36">
        <f>-BX28+GovBS!AC28</f>
        <v>0</v>
      </c>
    </row>
    <row r="29" spans="1:80" s="60" customFormat="1" ht="12">
      <c r="A29" s="13" t="s">
        <v>274</v>
      </c>
      <c r="C29" s="60" t="s">
        <v>195</v>
      </c>
      <c r="E29" s="60">
        <v>51060</v>
      </c>
      <c r="G29" s="13">
        <v>297788</v>
      </c>
      <c r="H29" s="13"/>
      <c r="I29" s="13">
        <v>0</v>
      </c>
      <c r="J29" s="13"/>
      <c r="K29" s="13">
        <v>33016806</v>
      </c>
      <c r="L29" s="13"/>
      <c r="M29" s="13">
        <v>10275324</v>
      </c>
      <c r="N29" s="13"/>
      <c r="O29" s="13">
        <v>3149672</v>
      </c>
      <c r="P29" s="13"/>
      <c r="Q29" s="13">
        <v>4703858</v>
      </c>
      <c r="R29" s="13"/>
      <c r="S29" s="13">
        <v>269101</v>
      </c>
      <c r="T29" s="13"/>
      <c r="U29" s="13">
        <v>4418886</v>
      </c>
      <c r="V29" s="13"/>
      <c r="W29" s="13">
        <v>2133483</v>
      </c>
      <c r="X29" s="13"/>
      <c r="Y29" s="13">
        <v>1044973</v>
      </c>
      <c r="Z29" s="13"/>
      <c r="AA29" s="13">
        <v>8288511</v>
      </c>
      <c r="AB29" s="13"/>
      <c r="AC29" s="13" t="s">
        <v>274</v>
      </c>
      <c r="AE29" s="60" t="s">
        <v>195</v>
      </c>
      <c r="AG29" s="13">
        <v>409059</v>
      </c>
      <c r="AH29" s="13"/>
      <c r="AI29" s="13">
        <v>5581714</v>
      </c>
      <c r="AJ29" s="13"/>
      <c r="AK29" s="13"/>
      <c r="AM29" s="13">
        <v>0</v>
      </c>
      <c r="AN29" s="13"/>
      <c r="AO29" s="13">
        <v>1256134</v>
      </c>
      <c r="AP29" s="13"/>
      <c r="AQ29" s="13">
        <v>0</v>
      </c>
      <c r="AR29" s="13"/>
      <c r="AS29" s="13">
        <v>19284974</v>
      </c>
      <c r="AT29" s="13"/>
      <c r="AU29" s="2">
        <v>0</v>
      </c>
      <c r="AV29" s="13"/>
      <c r="AW29" s="13">
        <v>4495000</v>
      </c>
      <c r="AX29" s="13"/>
      <c r="AY29" s="13">
        <f>453306+144423</f>
        <v>597729</v>
      </c>
      <c r="AZ29" s="13"/>
      <c r="BA29" s="13">
        <v>0</v>
      </c>
      <c r="BB29" s="13"/>
      <c r="BC29" s="64">
        <f>SUM(G29:BA29)</f>
        <v>99223012</v>
      </c>
      <c r="BD29" s="13" t="s">
        <v>274</v>
      </c>
      <c r="BF29" s="60" t="s">
        <v>195</v>
      </c>
      <c r="BG29" s="13"/>
      <c r="BH29" s="13">
        <v>21205597</v>
      </c>
      <c r="BI29" s="13"/>
      <c r="BJ29" s="2">
        <v>0</v>
      </c>
      <c r="BK29" s="13"/>
      <c r="BL29" s="13"/>
      <c r="BM29" s="13"/>
      <c r="BN29" s="13">
        <v>0</v>
      </c>
      <c r="BO29" s="13"/>
      <c r="BP29" s="64">
        <f t="shared" si="0"/>
        <v>120428609</v>
      </c>
      <c r="BQ29" s="13"/>
      <c r="BR29" s="64">
        <f>GovRev!AX29-BP29</f>
        <v>-12712317</v>
      </c>
      <c r="BS29" s="13"/>
      <c r="BT29" s="13">
        <v>81895762</v>
      </c>
      <c r="BU29" s="13"/>
      <c r="BV29" s="13">
        <v>0</v>
      </c>
      <c r="BW29" s="13"/>
      <c r="BX29" s="64">
        <f t="shared" si="2"/>
        <v>69183445</v>
      </c>
      <c r="BY29" s="64"/>
      <c r="BZ29" s="64">
        <f>-BX29+GovBS!AC29</f>
        <v>0</v>
      </c>
      <c r="CB29" s="13" t="s">
        <v>401</v>
      </c>
    </row>
    <row r="30" spans="1:80" s="19" customFormat="1" ht="12">
      <c r="A30" s="2" t="s">
        <v>330</v>
      </c>
      <c r="C30" s="19" t="s">
        <v>193</v>
      </c>
      <c r="E30" s="19">
        <v>51045</v>
      </c>
      <c r="G30" s="2">
        <v>782645</v>
      </c>
      <c r="H30" s="2"/>
      <c r="I30" s="2">
        <v>0</v>
      </c>
      <c r="J30" s="2"/>
      <c r="K30" s="2">
        <v>8136729</v>
      </c>
      <c r="L30" s="2"/>
      <c r="M30" s="2">
        <v>0</v>
      </c>
      <c r="N30" s="2"/>
      <c r="O30" s="2">
        <v>991590</v>
      </c>
      <c r="P30" s="2"/>
      <c r="Q30" s="2">
        <v>2041970</v>
      </c>
      <c r="R30" s="2"/>
      <c r="S30" s="2">
        <v>79400</v>
      </c>
      <c r="T30" s="2"/>
      <c r="U30" s="2">
        <v>671969</v>
      </c>
      <c r="V30" s="2"/>
      <c r="W30" s="2">
        <v>484807</v>
      </c>
      <c r="X30" s="2"/>
      <c r="Y30" s="2">
        <v>0</v>
      </c>
      <c r="Z30" s="2"/>
      <c r="AA30" s="2">
        <v>1299449</v>
      </c>
      <c r="AB30" s="2"/>
      <c r="AC30" s="2" t="s">
        <v>330</v>
      </c>
      <c r="AE30" s="19" t="s">
        <v>193</v>
      </c>
      <c r="AG30" s="2">
        <v>0</v>
      </c>
      <c r="AH30" s="2"/>
      <c r="AI30" s="2">
        <v>255345</v>
      </c>
      <c r="AJ30" s="2"/>
      <c r="AK30" s="2"/>
      <c r="AM30" s="2">
        <v>0</v>
      </c>
      <c r="AN30" s="2"/>
      <c r="AO30" s="2">
        <v>268588</v>
      </c>
      <c r="AP30" s="2"/>
      <c r="AQ30" s="2">
        <v>42464</v>
      </c>
      <c r="AR30" s="2"/>
      <c r="AS30" s="2">
        <v>49659</v>
      </c>
      <c r="AT30" s="2"/>
      <c r="AU30" s="13">
        <v>0</v>
      </c>
      <c r="AV30" s="2"/>
      <c r="AW30" s="2">
        <v>50938</v>
      </c>
      <c r="AX30" s="2"/>
      <c r="AY30" s="2">
        <v>1487</v>
      </c>
      <c r="AZ30" s="2"/>
      <c r="BA30" s="2">
        <v>0</v>
      </c>
      <c r="BB30" s="2"/>
      <c r="BC30" s="36">
        <f t="shared" si="1"/>
        <v>15157040</v>
      </c>
      <c r="BD30" s="2" t="s">
        <v>330</v>
      </c>
      <c r="BF30" s="19" t="s">
        <v>193</v>
      </c>
      <c r="BG30" s="2"/>
      <c r="BH30" s="2">
        <v>44012</v>
      </c>
      <c r="BI30" s="2"/>
      <c r="BJ30" s="2">
        <v>0</v>
      </c>
      <c r="BK30" s="2"/>
      <c r="BL30" s="2"/>
      <c r="BM30" s="2"/>
      <c r="BN30" s="2">
        <v>0</v>
      </c>
      <c r="BO30" s="2"/>
      <c r="BP30" s="36">
        <f t="shared" si="0"/>
        <v>15201052</v>
      </c>
      <c r="BQ30" s="2"/>
      <c r="BR30" s="36">
        <f>GovRev!AX30-BP30</f>
        <v>2125340</v>
      </c>
      <c r="BS30" s="2"/>
      <c r="BT30" s="2">
        <v>5658233</v>
      </c>
      <c r="BU30" s="2"/>
      <c r="BV30" s="2">
        <v>0</v>
      </c>
      <c r="BW30" s="2"/>
      <c r="BX30" s="36">
        <f t="shared" si="2"/>
        <v>7783573</v>
      </c>
      <c r="BY30" s="36"/>
      <c r="BZ30" s="36">
        <f>-BX30+GovBS!AC30</f>
        <v>0</v>
      </c>
    </row>
    <row r="31" spans="1:80" s="19" customFormat="1" ht="12">
      <c r="A31" s="2" t="s">
        <v>276</v>
      </c>
      <c r="C31" s="19" t="s">
        <v>200</v>
      </c>
      <c r="E31" s="19">
        <v>51128</v>
      </c>
      <c r="G31" s="2">
        <v>330274</v>
      </c>
      <c r="H31" s="2"/>
      <c r="I31" s="2">
        <v>223739</v>
      </c>
      <c r="J31" s="2"/>
      <c r="K31" s="2">
        <v>2955495</v>
      </c>
      <c r="L31" s="2"/>
      <c r="M31" s="2">
        <v>16674</v>
      </c>
      <c r="N31" s="2"/>
      <c r="O31" s="2">
        <v>201598</v>
      </c>
      <c r="P31" s="2"/>
      <c r="Q31" s="2">
        <v>317555</v>
      </c>
      <c r="R31" s="2"/>
      <c r="S31" s="2">
        <v>42417</v>
      </c>
      <c r="T31" s="2"/>
      <c r="U31" s="2">
        <v>234084</v>
      </c>
      <c r="V31" s="2"/>
      <c r="W31" s="2">
        <v>226865</v>
      </c>
      <c r="X31" s="2"/>
      <c r="Y31" s="2">
        <v>0</v>
      </c>
      <c r="Z31" s="2"/>
      <c r="AA31" s="2">
        <v>693541</v>
      </c>
      <c r="AB31" s="2"/>
      <c r="AC31" s="2" t="s">
        <v>276</v>
      </c>
      <c r="AE31" s="19" t="s">
        <v>200</v>
      </c>
      <c r="AG31" s="2">
        <v>0</v>
      </c>
      <c r="AH31" s="2"/>
      <c r="AI31" s="2">
        <v>17401</v>
      </c>
      <c r="AJ31" s="2"/>
      <c r="AK31" s="2"/>
      <c r="AM31" s="2">
        <v>196956</v>
      </c>
      <c r="AN31" s="2"/>
      <c r="AO31" s="2">
        <v>1282</v>
      </c>
      <c r="AP31" s="2"/>
      <c r="AQ31" s="2">
        <v>0</v>
      </c>
      <c r="AR31" s="2"/>
      <c r="AS31" s="2">
        <v>0</v>
      </c>
      <c r="AT31" s="2"/>
      <c r="AU31" s="2">
        <v>0</v>
      </c>
      <c r="AV31" s="2"/>
      <c r="AW31" s="2">
        <v>0</v>
      </c>
      <c r="AX31" s="2"/>
      <c r="AY31" s="2">
        <v>0</v>
      </c>
      <c r="AZ31" s="2"/>
      <c r="BA31" s="2">
        <v>0</v>
      </c>
      <c r="BB31" s="2"/>
      <c r="BC31" s="36">
        <f t="shared" si="1"/>
        <v>5457881</v>
      </c>
      <c r="BD31" s="2" t="s">
        <v>276</v>
      </c>
      <c r="BF31" s="19" t="s">
        <v>200</v>
      </c>
      <c r="BG31" s="2"/>
      <c r="BH31" s="2">
        <v>48436</v>
      </c>
      <c r="BI31" s="2"/>
      <c r="BJ31" s="13">
        <v>0</v>
      </c>
      <c r="BK31" s="2"/>
      <c r="BL31" s="2"/>
      <c r="BM31" s="2"/>
      <c r="BN31" s="2">
        <v>0</v>
      </c>
      <c r="BO31" s="2"/>
      <c r="BP31" s="36">
        <f t="shared" si="0"/>
        <v>5506317</v>
      </c>
      <c r="BQ31" s="2"/>
      <c r="BR31" s="36">
        <f>GovRev!AX31-BP31</f>
        <v>-62504</v>
      </c>
      <c r="BS31" s="2"/>
      <c r="BT31" s="2">
        <v>-53463</v>
      </c>
      <c r="BU31" s="2"/>
      <c r="BV31" s="2">
        <v>0</v>
      </c>
      <c r="BW31" s="2"/>
      <c r="BX31" s="36">
        <f t="shared" si="2"/>
        <v>-115967</v>
      </c>
      <c r="BY31" s="36"/>
      <c r="BZ31" s="36">
        <f>-BX31+GovBS!AC31</f>
        <v>0</v>
      </c>
    </row>
    <row r="32" spans="1:80" s="19" customFormat="1" ht="12">
      <c r="A32" s="2" t="s">
        <v>331</v>
      </c>
      <c r="C32" s="19" t="s">
        <v>202</v>
      </c>
      <c r="E32" s="19">
        <v>51144</v>
      </c>
      <c r="G32" s="2">
        <v>221458</v>
      </c>
      <c r="H32" s="2"/>
      <c r="I32" s="2">
        <v>0</v>
      </c>
      <c r="J32" s="2"/>
      <c r="K32" s="2">
        <v>5173979</v>
      </c>
      <c r="L32" s="2"/>
      <c r="M32" s="2">
        <v>1266057</v>
      </c>
      <c r="N32" s="2"/>
      <c r="O32" s="2">
        <v>563332</v>
      </c>
      <c r="P32" s="2"/>
      <c r="Q32" s="2">
        <v>730505</v>
      </c>
      <c r="R32" s="2"/>
      <c r="S32" s="2">
        <v>15603</v>
      </c>
      <c r="T32" s="2"/>
      <c r="U32" s="2">
        <v>865455</v>
      </c>
      <c r="V32" s="2"/>
      <c r="W32" s="2">
        <v>410129</v>
      </c>
      <c r="X32" s="2"/>
      <c r="Y32" s="2">
        <v>52051</v>
      </c>
      <c r="Z32" s="2"/>
      <c r="AA32" s="2">
        <v>1100178</v>
      </c>
      <c r="AB32" s="2"/>
      <c r="AC32" s="2" t="s">
        <v>331</v>
      </c>
      <c r="AE32" s="19" t="s">
        <v>202</v>
      </c>
      <c r="AG32" s="2">
        <v>0</v>
      </c>
      <c r="AH32" s="2"/>
      <c r="AI32" s="2">
        <v>15473</v>
      </c>
      <c r="AJ32" s="2"/>
      <c r="AK32" s="2"/>
      <c r="AM32" s="2">
        <v>0</v>
      </c>
      <c r="AN32" s="2"/>
      <c r="AO32" s="2">
        <v>218657</v>
      </c>
      <c r="AP32" s="2"/>
      <c r="AQ32" s="2">
        <v>38346</v>
      </c>
      <c r="AR32" s="2"/>
      <c r="AS32" s="2">
        <v>9715285</v>
      </c>
      <c r="AT32" s="2"/>
      <c r="AU32" s="2">
        <v>0</v>
      </c>
      <c r="AV32" s="2"/>
      <c r="AW32" s="2">
        <v>203093</v>
      </c>
      <c r="AX32" s="2"/>
      <c r="AY32" s="2">
        <v>237957</v>
      </c>
      <c r="AZ32" s="2"/>
      <c r="BA32" s="13">
        <v>0</v>
      </c>
      <c r="BB32" s="2"/>
      <c r="BC32" s="36">
        <f t="shared" si="1"/>
        <v>20827558</v>
      </c>
      <c r="BD32" s="2" t="s">
        <v>331</v>
      </c>
      <c r="BF32" s="19" t="s">
        <v>202</v>
      </c>
      <c r="BG32" s="2"/>
      <c r="BH32" s="2">
        <v>405091</v>
      </c>
      <c r="BI32" s="2"/>
      <c r="BJ32" s="2">
        <v>0</v>
      </c>
      <c r="BK32" s="2"/>
      <c r="BL32" s="2"/>
      <c r="BM32" s="2"/>
      <c r="BN32" s="2">
        <v>0</v>
      </c>
      <c r="BO32" s="2"/>
      <c r="BP32" s="36">
        <f t="shared" si="0"/>
        <v>21232649</v>
      </c>
      <c r="BQ32" s="2"/>
      <c r="BR32" s="36">
        <f>GovRev!AX32-BP32</f>
        <v>-7232317</v>
      </c>
      <c r="BS32" s="2"/>
      <c r="BT32" s="2">
        <v>22608374</v>
      </c>
      <c r="BU32" s="2"/>
      <c r="BV32" s="2">
        <v>0</v>
      </c>
      <c r="BW32" s="2"/>
      <c r="BX32" s="36">
        <f t="shared" si="2"/>
        <v>15376057</v>
      </c>
      <c r="BY32" s="36"/>
      <c r="BZ32" s="36">
        <f>-BX32+GovBS!AC32</f>
        <v>0</v>
      </c>
    </row>
    <row r="33" spans="1:80" s="19" customFormat="1" ht="12">
      <c r="A33" s="2" t="s">
        <v>278</v>
      </c>
      <c r="C33" s="19" t="s">
        <v>205</v>
      </c>
      <c r="E33" s="19">
        <v>51185</v>
      </c>
      <c r="G33" s="2">
        <v>333467</v>
      </c>
      <c r="H33" s="2"/>
      <c r="I33" s="2">
        <v>0</v>
      </c>
      <c r="J33" s="2"/>
      <c r="K33" s="2">
        <v>4954786</v>
      </c>
      <c r="L33" s="2"/>
      <c r="M33" s="2">
        <v>1769425</v>
      </c>
      <c r="N33" s="2"/>
      <c r="O33" s="2">
        <v>629980</v>
      </c>
      <c r="P33" s="2"/>
      <c r="Q33" s="2">
        <v>118433</v>
      </c>
      <c r="R33" s="2"/>
      <c r="S33" s="2">
        <v>42290</v>
      </c>
      <c r="T33" s="2"/>
      <c r="U33" s="2">
        <v>1099740</v>
      </c>
      <c r="V33" s="2"/>
      <c r="W33" s="2">
        <v>496792</v>
      </c>
      <c r="X33" s="2"/>
      <c r="Y33" s="2">
        <v>0</v>
      </c>
      <c r="Z33" s="2"/>
      <c r="AA33" s="2">
        <v>708680</v>
      </c>
      <c r="AB33" s="2"/>
      <c r="AC33" s="2" t="s">
        <v>278</v>
      </c>
      <c r="AE33" s="19" t="s">
        <v>205</v>
      </c>
      <c r="AF33" s="2"/>
      <c r="AG33" s="2">
        <v>0</v>
      </c>
      <c r="AH33" s="2"/>
      <c r="AI33" s="2">
        <v>439187</v>
      </c>
      <c r="AJ33" s="2"/>
      <c r="AK33" s="2"/>
      <c r="AL33" s="2"/>
      <c r="AM33" s="2">
        <v>283757</v>
      </c>
      <c r="AN33" s="2"/>
      <c r="AO33" s="2">
        <v>790326</v>
      </c>
      <c r="AP33" s="2"/>
      <c r="AQ33" s="2">
        <v>59438</v>
      </c>
      <c r="AR33" s="2"/>
      <c r="AS33" s="2">
        <v>0</v>
      </c>
      <c r="AT33" s="2"/>
      <c r="AU33" s="2">
        <v>0</v>
      </c>
      <c r="AV33" s="2"/>
      <c r="AW33" s="2">
        <v>74417</v>
      </c>
      <c r="AX33" s="2"/>
      <c r="AY33" s="2">
        <v>5539</v>
      </c>
      <c r="AZ33" s="2"/>
      <c r="BA33" s="2">
        <v>0</v>
      </c>
      <c r="BB33" s="2"/>
      <c r="BC33" s="36">
        <f t="shared" si="1"/>
        <v>11806257</v>
      </c>
      <c r="BD33" s="2" t="s">
        <v>278</v>
      </c>
      <c r="BF33" s="19" t="s">
        <v>205</v>
      </c>
      <c r="BG33" s="2"/>
      <c r="BH33" s="2">
        <v>140022</v>
      </c>
      <c r="BI33" s="2"/>
      <c r="BJ33" s="2">
        <v>0</v>
      </c>
      <c r="BK33" s="2"/>
      <c r="BL33" s="2"/>
      <c r="BM33" s="2"/>
      <c r="BN33" s="2">
        <v>0</v>
      </c>
      <c r="BO33" s="2"/>
      <c r="BP33" s="36">
        <f t="shared" si="0"/>
        <v>11946279</v>
      </c>
      <c r="BQ33" s="2"/>
      <c r="BR33" s="36">
        <f>GovRev!AX33-BP33</f>
        <v>942590</v>
      </c>
      <c r="BS33" s="2"/>
      <c r="BT33" s="2">
        <v>6002992</v>
      </c>
      <c r="BU33" s="2"/>
      <c r="BV33" s="2">
        <v>0</v>
      </c>
      <c r="BW33" s="2"/>
      <c r="BX33" s="36">
        <f t="shared" si="2"/>
        <v>6945582</v>
      </c>
      <c r="BY33" s="36"/>
      <c r="BZ33" s="36">
        <f>-BX33+GovBS!AC33</f>
        <v>0</v>
      </c>
    </row>
    <row r="34" spans="1:80" s="71" customFormat="1" ht="12" hidden="1">
      <c r="A34" s="69" t="s">
        <v>362</v>
      </c>
      <c r="C34" s="71" t="s">
        <v>207</v>
      </c>
      <c r="E34" s="71">
        <v>47977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 t="s">
        <v>362</v>
      </c>
      <c r="AE34" s="71" t="s">
        <v>207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13">
        <v>0</v>
      </c>
      <c r="AV34" s="69"/>
      <c r="AW34" s="69"/>
      <c r="AX34" s="69"/>
      <c r="AY34" s="69"/>
      <c r="AZ34" s="69"/>
      <c r="BA34" s="2">
        <v>0</v>
      </c>
      <c r="BB34" s="69"/>
      <c r="BC34" s="78">
        <f t="shared" si="1"/>
        <v>0</v>
      </c>
      <c r="BD34" s="69" t="s">
        <v>362</v>
      </c>
      <c r="BF34" s="71" t="s">
        <v>207</v>
      </c>
      <c r="BG34" s="69"/>
      <c r="BH34" s="69"/>
      <c r="BI34" s="69"/>
      <c r="BJ34" s="13">
        <v>0</v>
      </c>
      <c r="BK34" s="69"/>
      <c r="BL34" s="69"/>
      <c r="BM34" s="69"/>
      <c r="BN34" s="69">
        <v>0</v>
      </c>
      <c r="BO34" s="69"/>
      <c r="BP34" s="78">
        <f t="shared" si="0"/>
        <v>0</v>
      </c>
      <c r="BQ34" s="69"/>
      <c r="BR34" s="78">
        <f>GovRev!AX34-BP34</f>
        <v>0</v>
      </c>
      <c r="BS34" s="69"/>
      <c r="BT34" s="69"/>
      <c r="BU34" s="69"/>
      <c r="BV34" s="69">
        <v>0</v>
      </c>
      <c r="BW34" s="69"/>
      <c r="BX34" s="78">
        <f t="shared" si="2"/>
        <v>0</v>
      </c>
      <c r="BY34" s="78"/>
      <c r="BZ34" s="78">
        <f>-BX34+GovBS!AC34</f>
        <v>0</v>
      </c>
      <c r="CB34" s="93" t="s">
        <v>404</v>
      </c>
    </row>
    <row r="35" spans="1:80" s="19" customFormat="1" ht="12">
      <c r="A35" s="2" t="s">
        <v>280</v>
      </c>
      <c r="C35" s="19" t="s">
        <v>154</v>
      </c>
      <c r="E35" s="19">
        <v>51227</v>
      </c>
      <c r="G35" s="2">
        <v>1805390</v>
      </c>
      <c r="H35" s="2"/>
      <c r="I35" s="2">
        <v>4203</v>
      </c>
      <c r="J35" s="2"/>
      <c r="K35" s="2">
        <v>10291179</v>
      </c>
      <c r="L35" s="2"/>
      <c r="M35" s="2">
        <v>1444933</v>
      </c>
      <c r="N35" s="2"/>
      <c r="O35" s="2">
        <v>1517148</v>
      </c>
      <c r="P35" s="2"/>
      <c r="Q35" s="2">
        <v>1792894</v>
      </c>
      <c r="R35" s="2"/>
      <c r="S35" s="2">
        <v>41298</v>
      </c>
      <c r="T35" s="2"/>
      <c r="U35" s="2">
        <v>1681253</v>
      </c>
      <c r="V35" s="2"/>
      <c r="W35" s="2">
        <v>735609</v>
      </c>
      <c r="X35" s="2"/>
      <c r="Y35" s="2">
        <v>153414</v>
      </c>
      <c r="Z35" s="2"/>
      <c r="AA35" s="2">
        <v>3795731</v>
      </c>
      <c r="AB35" s="2"/>
      <c r="AC35" s="2" t="s">
        <v>280</v>
      </c>
      <c r="AE35" s="19" t="s">
        <v>154</v>
      </c>
      <c r="AG35" s="2">
        <v>60305</v>
      </c>
      <c r="AH35" s="2"/>
      <c r="AI35" s="2">
        <v>424771</v>
      </c>
      <c r="AJ35" s="2"/>
      <c r="AK35" s="2"/>
      <c r="AM35" s="2">
        <v>72074</v>
      </c>
      <c r="AN35" s="2"/>
      <c r="AO35" s="2">
        <v>358836</v>
      </c>
      <c r="AP35" s="2"/>
      <c r="AQ35" s="2">
        <v>306125</v>
      </c>
      <c r="AR35" s="2"/>
      <c r="AS35" s="2">
        <v>57809</v>
      </c>
      <c r="AT35" s="2"/>
      <c r="AU35" s="2">
        <v>0</v>
      </c>
      <c r="AV35" s="2"/>
      <c r="AW35" s="2">
        <v>0</v>
      </c>
      <c r="AX35" s="2"/>
      <c r="AY35" s="2">
        <v>0</v>
      </c>
      <c r="AZ35" s="2"/>
      <c r="BA35" s="13">
        <v>0</v>
      </c>
      <c r="BB35" s="2"/>
      <c r="BC35" s="36">
        <f t="shared" si="1"/>
        <v>24542972</v>
      </c>
      <c r="BD35" s="2" t="s">
        <v>280</v>
      </c>
      <c r="BF35" s="19" t="s">
        <v>154</v>
      </c>
      <c r="BG35" s="2"/>
      <c r="BH35" s="2">
        <v>825000</v>
      </c>
      <c r="BI35" s="2"/>
      <c r="BJ35" s="2">
        <v>0</v>
      </c>
      <c r="BK35" s="2"/>
      <c r="BL35" s="2"/>
      <c r="BM35" s="2"/>
      <c r="BN35" s="2">
        <v>50000</v>
      </c>
      <c r="BO35" s="2"/>
      <c r="BP35" s="36">
        <f t="shared" si="0"/>
        <v>25417972</v>
      </c>
      <c r="BQ35" s="2"/>
      <c r="BR35" s="36">
        <f>GovRev!AX35-BP35</f>
        <v>-1055317</v>
      </c>
      <c r="BS35" s="2"/>
      <c r="BT35" s="2">
        <v>11602487</v>
      </c>
      <c r="BU35" s="2"/>
      <c r="BV35" s="2">
        <v>0</v>
      </c>
      <c r="BW35" s="2"/>
      <c r="BX35" s="36">
        <f t="shared" si="2"/>
        <v>10547170</v>
      </c>
      <c r="BY35" s="36"/>
      <c r="BZ35" s="64">
        <f>-BX35+GovBS!AC35</f>
        <v>0</v>
      </c>
    </row>
    <row r="36" spans="1:80" s="19" customFormat="1" ht="12">
      <c r="A36" s="2" t="s">
        <v>283</v>
      </c>
      <c r="C36" s="19" t="s">
        <v>214</v>
      </c>
      <c r="E36" s="19">
        <v>51243</v>
      </c>
      <c r="G36" s="2">
        <v>1294242</v>
      </c>
      <c r="H36" s="2"/>
      <c r="I36" s="2">
        <v>0</v>
      </c>
      <c r="J36" s="2"/>
      <c r="K36" s="2">
        <v>3398632</v>
      </c>
      <c r="L36" s="2"/>
      <c r="M36" s="2">
        <v>681298</v>
      </c>
      <c r="N36" s="2"/>
      <c r="O36" s="2">
        <v>1074540</v>
      </c>
      <c r="P36" s="2"/>
      <c r="Q36" s="2">
        <v>1452061</v>
      </c>
      <c r="R36" s="2"/>
      <c r="S36" s="2">
        <v>62347</v>
      </c>
      <c r="T36" s="2"/>
      <c r="U36" s="2">
        <v>816654</v>
      </c>
      <c r="V36" s="2"/>
      <c r="W36" s="2">
        <v>704653</v>
      </c>
      <c r="X36" s="2"/>
      <c r="Y36" s="2">
        <v>1172</v>
      </c>
      <c r="Z36" s="2"/>
      <c r="AA36" s="2">
        <v>1100191</v>
      </c>
      <c r="AB36" s="2"/>
      <c r="AC36" s="2" t="s">
        <v>283</v>
      </c>
      <c r="AE36" s="19" t="s">
        <v>214</v>
      </c>
      <c r="AG36" s="2">
        <v>35425</v>
      </c>
      <c r="AH36" s="2"/>
      <c r="AI36" s="2">
        <v>193935</v>
      </c>
      <c r="AJ36" s="2"/>
      <c r="AK36" s="2"/>
      <c r="AM36" s="2">
        <v>301829</v>
      </c>
      <c r="AN36" s="2"/>
      <c r="AO36" s="2">
        <v>14675</v>
      </c>
      <c r="AP36" s="2"/>
      <c r="AQ36" s="2">
        <v>72023</v>
      </c>
      <c r="AR36" s="2"/>
      <c r="AS36" s="2">
        <v>9330359</v>
      </c>
      <c r="AT36" s="2"/>
      <c r="AU36" s="2">
        <v>0</v>
      </c>
      <c r="AV36" s="2"/>
      <c r="AW36" s="2">
        <v>0</v>
      </c>
      <c r="AX36" s="2"/>
      <c r="AY36" s="2">
        <v>438544</v>
      </c>
      <c r="AZ36" s="2"/>
      <c r="BA36" s="2">
        <v>0</v>
      </c>
      <c r="BB36" s="2"/>
      <c r="BC36" s="36">
        <f t="shared" si="1"/>
        <v>20972580</v>
      </c>
      <c r="BD36" s="2" t="s">
        <v>283</v>
      </c>
      <c r="BF36" s="19" t="s">
        <v>214</v>
      </c>
      <c r="BG36" s="2"/>
      <c r="BH36" s="2">
        <v>1784008</v>
      </c>
      <c r="BI36" s="2"/>
      <c r="BJ36" s="2">
        <v>0</v>
      </c>
      <c r="BK36" s="2"/>
      <c r="BL36" s="2"/>
      <c r="BM36" s="2"/>
      <c r="BN36" s="2">
        <f>145649+8702</f>
        <v>154351</v>
      </c>
      <c r="BO36" s="2"/>
      <c r="BP36" s="36">
        <f t="shared" si="0"/>
        <v>22910939</v>
      </c>
      <c r="BQ36" s="2"/>
      <c r="BR36" s="36">
        <f>GovRev!AX36-BP36</f>
        <v>7253594</v>
      </c>
      <c r="BS36" s="2"/>
      <c r="BT36" s="2">
        <v>18764503</v>
      </c>
      <c r="BU36" s="2"/>
      <c r="BV36" s="2">
        <v>0</v>
      </c>
      <c r="BW36" s="2"/>
      <c r="BX36" s="36">
        <f t="shared" si="2"/>
        <v>26018097</v>
      </c>
      <c r="BY36" s="36"/>
      <c r="BZ36" s="64">
        <f>-BX36+GovBS!AC36</f>
        <v>0</v>
      </c>
    </row>
    <row r="37" spans="1:80" s="19" customFormat="1" ht="12">
      <c r="A37" s="2" t="s">
        <v>332</v>
      </c>
      <c r="C37" s="19" t="s">
        <v>230</v>
      </c>
      <c r="E37" s="19">
        <v>51391</v>
      </c>
      <c r="G37" s="2">
        <v>1226507</v>
      </c>
      <c r="H37" s="2"/>
      <c r="I37" s="2">
        <v>0</v>
      </c>
      <c r="J37" s="2"/>
      <c r="K37" s="2">
        <v>4700601</v>
      </c>
      <c r="L37" s="2"/>
      <c r="M37" s="2">
        <v>126344</v>
      </c>
      <c r="N37" s="2"/>
      <c r="O37" s="2">
        <v>932195</v>
      </c>
      <c r="P37" s="2"/>
      <c r="Q37" s="2">
        <v>497497</v>
      </c>
      <c r="R37" s="2"/>
      <c r="S37" s="2">
        <v>94954</v>
      </c>
      <c r="T37" s="2"/>
      <c r="U37" s="2">
        <v>801580</v>
      </c>
      <c r="V37" s="2"/>
      <c r="W37" s="2">
        <v>493899</v>
      </c>
      <c r="X37" s="2"/>
      <c r="Y37" s="2">
        <v>223535</v>
      </c>
      <c r="Z37" s="2"/>
      <c r="AA37" s="2">
        <v>1481330</v>
      </c>
      <c r="AB37" s="2"/>
      <c r="AC37" s="2" t="s">
        <v>332</v>
      </c>
      <c r="AE37" s="19" t="s">
        <v>230</v>
      </c>
      <c r="AG37" s="2">
        <v>14273</v>
      </c>
      <c r="AH37" s="2"/>
      <c r="AI37" s="2">
        <v>422950</v>
      </c>
      <c r="AJ37" s="2"/>
      <c r="AK37" s="2"/>
      <c r="AM37" s="2">
        <v>296097</v>
      </c>
      <c r="AN37" s="2"/>
      <c r="AO37" s="2">
        <v>21096</v>
      </c>
      <c r="AP37" s="2"/>
      <c r="AQ37" s="2">
        <v>19972</v>
      </c>
      <c r="AR37" s="2"/>
      <c r="AS37" s="2">
        <v>1331449</v>
      </c>
      <c r="AT37" s="2"/>
      <c r="AU37" s="2">
        <v>0</v>
      </c>
      <c r="AV37" s="2"/>
      <c r="AW37" s="2">
        <v>0</v>
      </c>
      <c r="AX37" s="2"/>
      <c r="AY37" s="2">
        <v>0</v>
      </c>
      <c r="AZ37" s="2"/>
      <c r="BA37" s="2">
        <v>0</v>
      </c>
      <c r="BB37" s="2"/>
      <c r="BC37" s="36">
        <f t="shared" si="1"/>
        <v>12684279</v>
      </c>
      <c r="BD37" s="2" t="s">
        <v>332</v>
      </c>
      <c r="BF37" s="19" t="s">
        <v>230</v>
      </c>
      <c r="BG37" s="2"/>
      <c r="BH37" s="2">
        <v>4561</v>
      </c>
      <c r="BI37" s="2"/>
      <c r="BJ37" s="13">
        <v>0</v>
      </c>
      <c r="BK37" s="2"/>
      <c r="BL37" s="2"/>
      <c r="BM37" s="2"/>
      <c r="BN37" s="2">
        <v>0</v>
      </c>
      <c r="BO37" s="2"/>
      <c r="BP37" s="36">
        <f t="shared" si="0"/>
        <v>12688840</v>
      </c>
      <c r="BQ37" s="2"/>
      <c r="BR37" s="36">
        <f>GovRev!AX37-BP37</f>
        <v>1670925</v>
      </c>
      <c r="BS37" s="2"/>
      <c r="BT37" s="2">
        <v>17691052</v>
      </c>
      <c r="BU37" s="2"/>
      <c r="BV37" s="2">
        <v>0</v>
      </c>
      <c r="BW37" s="2"/>
      <c r="BX37" s="36">
        <f t="shared" si="2"/>
        <v>19361977</v>
      </c>
      <c r="BY37" s="36"/>
      <c r="BZ37" s="64">
        <f>-BX37+GovBS!AC37</f>
        <v>0</v>
      </c>
    </row>
    <row r="38" spans="1:80" s="19" customFormat="1" ht="12">
      <c r="A38" s="2" t="s">
        <v>286</v>
      </c>
      <c r="C38" s="19" t="s">
        <v>216</v>
      </c>
      <c r="E38" s="19">
        <v>62109</v>
      </c>
      <c r="G38" s="2">
        <v>2329835</v>
      </c>
      <c r="H38" s="2"/>
      <c r="I38" s="2">
        <v>448150</v>
      </c>
      <c r="J38" s="2"/>
      <c r="K38" s="2">
        <v>5202017</v>
      </c>
      <c r="L38" s="2"/>
      <c r="M38" s="2">
        <v>208454</v>
      </c>
      <c r="N38" s="2"/>
      <c r="O38" s="2">
        <v>1723284</v>
      </c>
      <c r="P38" s="2"/>
      <c r="Q38" s="2">
        <v>745585</v>
      </c>
      <c r="R38" s="2"/>
      <c r="S38" s="2">
        <v>38601</v>
      </c>
      <c r="T38" s="2"/>
      <c r="U38" s="2">
        <v>1551654</v>
      </c>
      <c r="V38" s="2"/>
      <c r="W38" s="2">
        <v>533832</v>
      </c>
      <c r="X38" s="2"/>
      <c r="Y38" s="2">
        <v>245336</v>
      </c>
      <c r="Z38" s="2"/>
      <c r="AA38" s="2">
        <v>2045355</v>
      </c>
      <c r="AB38" s="2"/>
      <c r="AC38" s="2" t="s">
        <v>286</v>
      </c>
      <c r="AE38" s="19" t="s">
        <v>216</v>
      </c>
      <c r="AG38" s="2">
        <v>38853</v>
      </c>
      <c r="AH38" s="2"/>
      <c r="AI38" s="2">
        <v>274127</v>
      </c>
      <c r="AJ38" s="2"/>
      <c r="AK38" s="2"/>
      <c r="AM38" s="2">
        <v>0</v>
      </c>
      <c r="AN38" s="2"/>
      <c r="AO38" s="2">
        <v>114372</v>
      </c>
      <c r="AP38" s="2"/>
      <c r="AQ38" s="2">
        <v>24005</v>
      </c>
      <c r="AR38" s="2"/>
      <c r="AS38" s="2">
        <v>198633</v>
      </c>
      <c r="AT38" s="2"/>
      <c r="AU38" s="13">
        <v>0</v>
      </c>
      <c r="AV38" s="2"/>
      <c r="AW38" s="2">
        <v>0</v>
      </c>
      <c r="AX38" s="2"/>
      <c r="AY38" s="2">
        <v>0</v>
      </c>
      <c r="AZ38" s="2"/>
      <c r="BA38" s="13">
        <v>0</v>
      </c>
      <c r="BB38" s="2"/>
      <c r="BC38" s="36">
        <f t="shared" si="1"/>
        <v>15722093</v>
      </c>
      <c r="BD38" s="2" t="s">
        <v>286</v>
      </c>
      <c r="BF38" s="19" t="s">
        <v>216</v>
      </c>
      <c r="BG38" s="2"/>
      <c r="BH38" s="2">
        <v>20000</v>
      </c>
      <c r="BI38" s="2"/>
      <c r="BJ38" s="2">
        <v>0</v>
      </c>
      <c r="BK38" s="2"/>
      <c r="BL38" s="2"/>
      <c r="BM38" s="2"/>
      <c r="BN38" s="2">
        <v>0</v>
      </c>
      <c r="BO38" s="2"/>
      <c r="BP38" s="36">
        <f t="shared" si="0"/>
        <v>15742093</v>
      </c>
      <c r="BQ38" s="2"/>
      <c r="BR38" s="36">
        <f>GovRev!AX38-BP38</f>
        <v>1431321</v>
      </c>
      <c r="BS38" s="2"/>
      <c r="BT38" s="2">
        <v>4156246</v>
      </c>
      <c r="BU38" s="2"/>
      <c r="BV38" s="2">
        <v>0</v>
      </c>
      <c r="BW38" s="2"/>
      <c r="BX38" s="36">
        <f t="shared" si="2"/>
        <v>5587567</v>
      </c>
      <c r="BY38" s="36"/>
      <c r="BZ38" s="64">
        <f>-BX38+GovBS!AC38</f>
        <v>0</v>
      </c>
    </row>
    <row r="39" spans="1:80" s="19" customFormat="1" ht="12">
      <c r="A39" s="2" t="s">
        <v>333</v>
      </c>
      <c r="C39" s="19" t="s">
        <v>222</v>
      </c>
      <c r="E39" s="19">
        <v>51284</v>
      </c>
      <c r="G39" s="2">
        <v>5232080</v>
      </c>
      <c r="H39" s="2"/>
      <c r="I39" s="2">
        <v>330985</v>
      </c>
      <c r="J39" s="2"/>
      <c r="K39" s="2">
        <v>11591289</v>
      </c>
      <c r="L39" s="2"/>
      <c r="M39" s="2">
        <v>3814520</v>
      </c>
      <c r="N39" s="2"/>
      <c r="O39" s="2">
        <v>1820155</v>
      </c>
      <c r="P39" s="2"/>
      <c r="Q39" s="2">
        <v>1686163</v>
      </c>
      <c r="R39" s="2"/>
      <c r="S39" s="2">
        <v>61685</v>
      </c>
      <c r="T39" s="2"/>
      <c r="U39" s="2">
        <v>2180506</v>
      </c>
      <c r="V39" s="2"/>
      <c r="W39" s="2">
        <v>872632</v>
      </c>
      <c r="X39" s="2"/>
      <c r="Y39" s="2">
        <v>657506</v>
      </c>
      <c r="Z39" s="2"/>
      <c r="AA39" s="2">
        <v>3711007</v>
      </c>
      <c r="AB39" s="2"/>
      <c r="AC39" s="2" t="s">
        <v>333</v>
      </c>
      <c r="AE39" s="19" t="s">
        <v>222</v>
      </c>
      <c r="AG39" s="2">
        <v>85295</v>
      </c>
      <c r="AH39" s="2"/>
      <c r="AI39" s="2">
        <v>1946475</v>
      </c>
      <c r="AJ39" s="2"/>
      <c r="AK39" s="2"/>
      <c r="AM39" s="2">
        <v>0</v>
      </c>
      <c r="AN39" s="2"/>
      <c r="AO39" s="2">
        <v>301376</v>
      </c>
      <c r="AP39" s="2"/>
      <c r="AQ39" s="2">
        <v>0</v>
      </c>
      <c r="AR39" s="2"/>
      <c r="AS39" s="2">
        <v>5648042</v>
      </c>
      <c r="AT39" s="2"/>
      <c r="AU39" s="2">
        <v>0</v>
      </c>
      <c r="AV39" s="2"/>
      <c r="AW39" s="2">
        <v>205000</v>
      </c>
      <c r="AX39" s="2"/>
      <c r="AY39" s="2">
        <v>257510</v>
      </c>
      <c r="AZ39" s="2"/>
      <c r="BA39" s="2">
        <v>0</v>
      </c>
      <c r="BB39" s="2"/>
      <c r="BC39" s="36">
        <f t="shared" si="1"/>
        <v>40402226</v>
      </c>
      <c r="BD39" s="2" t="s">
        <v>333</v>
      </c>
      <c r="BF39" s="19" t="s">
        <v>222</v>
      </c>
      <c r="BG39" s="2"/>
      <c r="BH39" s="2">
        <v>697866</v>
      </c>
      <c r="BI39" s="2"/>
      <c r="BJ39" s="2">
        <v>0</v>
      </c>
      <c r="BK39" s="2"/>
      <c r="BL39" s="2"/>
      <c r="BM39" s="2"/>
      <c r="BN39" s="2">
        <v>0</v>
      </c>
      <c r="BO39" s="2"/>
      <c r="BP39" s="36">
        <f t="shared" si="0"/>
        <v>41100092</v>
      </c>
      <c r="BQ39" s="2"/>
      <c r="BR39" s="36">
        <f>GovRev!AX39-BP39</f>
        <v>1441965</v>
      </c>
      <c r="BS39" s="2"/>
      <c r="BT39" s="2">
        <v>3129762</v>
      </c>
      <c r="BU39" s="2"/>
      <c r="BV39" s="2">
        <v>0</v>
      </c>
      <c r="BW39" s="2"/>
      <c r="BX39" s="36">
        <f t="shared" si="2"/>
        <v>4571727</v>
      </c>
      <c r="BY39" s="36"/>
      <c r="BZ39" s="64">
        <f>-BX39+GovBS!AC39</f>
        <v>0</v>
      </c>
    </row>
    <row r="40" spans="1:80" s="19" customFormat="1" ht="12">
      <c r="A40" s="2" t="s">
        <v>334</v>
      </c>
      <c r="C40" s="19" t="s">
        <v>224</v>
      </c>
      <c r="E40" s="19">
        <v>51300</v>
      </c>
      <c r="G40" s="2">
        <v>1711098</v>
      </c>
      <c r="H40" s="2"/>
      <c r="I40" s="2">
        <v>0</v>
      </c>
      <c r="J40" s="2"/>
      <c r="K40" s="2">
        <v>6494676</v>
      </c>
      <c r="L40" s="2"/>
      <c r="M40" s="2">
        <v>2090539</v>
      </c>
      <c r="N40" s="2"/>
      <c r="O40" s="2">
        <v>992819</v>
      </c>
      <c r="P40" s="2"/>
      <c r="Q40" s="2">
        <v>658969</v>
      </c>
      <c r="R40" s="2"/>
      <c r="S40" s="2">
        <v>82422</v>
      </c>
      <c r="T40" s="2"/>
      <c r="U40" s="2">
        <v>1310320</v>
      </c>
      <c r="V40" s="2"/>
      <c r="W40" s="2">
        <v>613501</v>
      </c>
      <c r="X40" s="2"/>
      <c r="Y40" s="2">
        <v>222459</v>
      </c>
      <c r="Z40" s="2"/>
      <c r="AA40" s="2">
        <v>1149168</v>
      </c>
      <c r="AB40" s="2"/>
      <c r="AC40" s="2" t="s">
        <v>334</v>
      </c>
      <c r="AE40" s="19" t="s">
        <v>224</v>
      </c>
      <c r="AG40" s="2">
        <v>48539</v>
      </c>
      <c r="AH40" s="2"/>
      <c r="AI40" s="2">
        <v>382735</v>
      </c>
      <c r="AJ40" s="2"/>
      <c r="AK40" s="2"/>
      <c r="AM40" s="2">
        <v>347814</v>
      </c>
      <c r="AN40" s="2"/>
      <c r="AO40" s="2">
        <v>2929</v>
      </c>
      <c r="AP40" s="2"/>
      <c r="AQ40" s="2">
        <v>90750</v>
      </c>
      <c r="AR40" s="2"/>
      <c r="AS40" s="2">
        <v>120303</v>
      </c>
      <c r="AT40" s="2"/>
      <c r="AU40" s="2">
        <v>0</v>
      </c>
      <c r="AV40" s="2"/>
      <c r="AW40" s="2">
        <v>29465</v>
      </c>
      <c r="AX40" s="2"/>
      <c r="AY40" s="2">
        <v>4768</v>
      </c>
      <c r="AZ40" s="2"/>
      <c r="BA40" s="2">
        <v>0</v>
      </c>
      <c r="BB40" s="2"/>
      <c r="BC40" s="36">
        <f t="shared" si="1"/>
        <v>16353274</v>
      </c>
      <c r="BD40" s="2" t="s">
        <v>334</v>
      </c>
      <c r="BF40" s="19" t="s">
        <v>224</v>
      </c>
      <c r="BG40" s="2"/>
      <c r="BH40" s="2">
        <v>645000</v>
      </c>
      <c r="BI40" s="2"/>
      <c r="BJ40" s="13">
        <v>0</v>
      </c>
      <c r="BK40" s="2"/>
      <c r="BL40" s="2"/>
      <c r="BM40" s="2"/>
      <c r="BN40" s="2">
        <v>0</v>
      </c>
      <c r="BO40" s="2"/>
      <c r="BP40" s="36">
        <f t="shared" si="0"/>
        <v>16998274</v>
      </c>
      <c r="BQ40" s="2"/>
      <c r="BR40" s="36">
        <f>GovRev!AX40-BP40</f>
        <v>1774404</v>
      </c>
      <c r="BS40" s="2"/>
      <c r="BT40" s="2">
        <v>12088078</v>
      </c>
      <c r="BU40" s="2"/>
      <c r="BV40" s="2">
        <v>0</v>
      </c>
      <c r="BW40" s="2"/>
      <c r="BX40" s="36">
        <f t="shared" si="2"/>
        <v>13862482</v>
      </c>
      <c r="BY40" s="36"/>
      <c r="BZ40" s="36">
        <f>-BX40+GovBS!AC40</f>
        <v>0</v>
      </c>
    </row>
    <row r="41" spans="1:80" s="60" customFormat="1" ht="12.75" hidden="1" customHeight="1">
      <c r="A41" s="13" t="s">
        <v>279</v>
      </c>
      <c r="C41" s="60" t="s">
        <v>209</v>
      </c>
      <c r="E41" s="60">
        <v>51334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3" t="s">
        <v>279</v>
      </c>
      <c r="AE41" s="60" t="s">
        <v>209</v>
      </c>
      <c r="AG41" s="2"/>
      <c r="AH41" s="2"/>
      <c r="AI41" s="2"/>
      <c r="AJ41" s="2"/>
      <c r="AK41" s="2"/>
      <c r="AM41" s="2"/>
      <c r="AN41" s="2"/>
      <c r="AO41" s="2"/>
      <c r="AP41" s="2"/>
      <c r="AQ41" s="2"/>
      <c r="AR41" s="2"/>
      <c r="AS41" s="2"/>
      <c r="AT41" s="2"/>
      <c r="AU41" s="2">
        <v>0</v>
      </c>
      <c r="AV41" s="2"/>
      <c r="AW41" s="2"/>
      <c r="AX41" s="2"/>
      <c r="AY41" s="2"/>
      <c r="AZ41" s="2"/>
      <c r="BA41" s="13">
        <v>0</v>
      </c>
      <c r="BB41" s="2"/>
      <c r="BC41" s="36">
        <f t="shared" si="1"/>
        <v>0</v>
      </c>
      <c r="BD41" s="13" t="s">
        <v>279</v>
      </c>
      <c r="BF41" s="60" t="s">
        <v>209</v>
      </c>
      <c r="BG41" s="2"/>
      <c r="BH41" s="2"/>
      <c r="BI41" s="2"/>
      <c r="BJ41" s="2">
        <v>0</v>
      </c>
      <c r="BK41" s="2"/>
      <c r="BL41" s="2"/>
      <c r="BM41" s="2"/>
      <c r="BN41" s="2">
        <v>0</v>
      </c>
      <c r="BO41" s="2"/>
      <c r="BP41" s="36">
        <f t="shared" si="0"/>
        <v>0</v>
      </c>
      <c r="BQ41" s="2"/>
      <c r="BR41" s="36">
        <f>GovRev!AX41-BP41</f>
        <v>0</v>
      </c>
      <c r="BS41" s="2"/>
      <c r="BT41" s="2"/>
      <c r="BU41" s="2"/>
      <c r="BV41" s="2">
        <v>0</v>
      </c>
      <c r="BW41" s="2"/>
      <c r="BX41" s="36">
        <f t="shared" si="2"/>
        <v>0</v>
      </c>
      <c r="BY41" s="36"/>
      <c r="BZ41" s="36">
        <f>-BX41+GovBS!AC41</f>
        <v>0</v>
      </c>
    </row>
    <row r="42" spans="1:80" s="19" customFormat="1" ht="12">
      <c r="A42" s="2" t="s">
        <v>335</v>
      </c>
      <c r="C42" s="19" t="s">
        <v>264</v>
      </c>
      <c r="E42" s="19">
        <v>51359</v>
      </c>
      <c r="G42" s="2">
        <v>0</v>
      </c>
      <c r="H42" s="2"/>
      <c r="I42" s="2">
        <v>1214004</v>
      </c>
      <c r="J42" s="2"/>
      <c r="K42" s="2">
        <v>15934637</v>
      </c>
      <c r="L42" s="2"/>
      <c r="M42" s="2">
        <v>643891</v>
      </c>
      <c r="N42" s="2"/>
      <c r="O42" s="2">
        <v>2711800</v>
      </c>
      <c r="P42" s="2"/>
      <c r="Q42" s="2">
        <v>2228719</v>
      </c>
      <c r="R42" s="2"/>
      <c r="S42" s="2">
        <v>75219</v>
      </c>
      <c r="T42" s="2"/>
      <c r="U42" s="2">
        <v>1225988</v>
      </c>
      <c r="V42" s="2"/>
      <c r="W42" s="2">
        <v>654155</v>
      </c>
      <c r="X42" s="2"/>
      <c r="Y42" s="2">
        <v>0</v>
      </c>
      <c r="Z42" s="2"/>
      <c r="AA42" s="2">
        <v>2683033</v>
      </c>
      <c r="AB42" s="2"/>
      <c r="AC42" s="2" t="s">
        <v>335</v>
      </c>
      <c r="AE42" s="19" t="s">
        <v>264</v>
      </c>
      <c r="AG42" s="2">
        <v>0</v>
      </c>
      <c r="AH42" s="2"/>
      <c r="AI42" s="2">
        <v>317667</v>
      </c>
      <c r="AJ42" s="2"/>
      <c r="AK42" s="2"/>
      <c r="AM42" s="2">
        <v>695850</v>
      </c>
      <c r="AN42" s="2"/>
      <c r="AO42" s="2">
        <v>260953</v>
      </c>
      <c r="AP42" s="2"/>
      <c r="AQ42" s="2">
        <v>125457</v>
      </c>
      <c r="AR42" s="2"/>
      <c r="AS42" s="2">
        <f>120541+4830551</f>
        <v>4951092</v>
      </c>
      <c r="AT42" s="2"/>
      <c r="AU42" s="13">
        <v>0</v>
      </c>
      <c r="AV42" s="2"/>
      <c r="AW42" s="2">
        <v>1695659</v>
      </c>
      <c r="AX42" s="2"/>
      <c r="AY42" s="2">
        <v>2929135</v>
      </c>
      <c r="AZ42" s="2"/>
      <c r="BA42" s="2">
        <v>0</v>
      </c>
      <c r="BB42" s="2"/>
      <c r="BC42" s="36">
        <f t="shared" si="1"/>
        <v>38347259</v>
      </c>
      <c r="BD42" s="2" t="s">
        <v>335</v>
      </c>
      <c r="BF42" s="19" t="s">
        <v>264</v>
      </c>
      <c r="BG42" s="2"/>
      <c r="BH42" s="36">
        <v>16072682</v>
      </c>
      <c r="BI42" s="2"/>
      <c r="BJ42" s="2">
        <v>0</v>
      </c>
      <c r="BK42" s="2"/>
      <c r="BL42" s="2"/>
      <c r="BM42" s="2"/>
      <c r="BN42" s="2">
        <v>0</v>
      </c>
      <c r="BO42" s="2"/>
      <c r="BP42" s="36">
        <f t="shared" si="0"/>
        <v>54419941</v>
      </c>
      <c r="BQ42" s="2"/>
      <c r="BR42" s="36">
        <f>GovRev!AX42-BP42</f>
        <v>-3044428</v>
      </c>
      <c r="BS42" s="2"/>
      <c r="BT42" s="2">
        <v>20563472</v>
      </c>
      <c r="BU42" s="2"/>
      <c r="BV42" s="2">
        <v>0</v>
      </c>
      <c r="BW42" s="2"/>
      <c r="BX42" s="36">
        <f t="shared" si="2"/>
        <v>17519044</v>
      </c>
      <c r="BY42" s="36"/>
      <c r="BZ42" s="36">
        <f>-BX42+GovBS!AC42</f>
        <v>0</v>
      </c>
    </row>
    <row r="43" spans="1:80" s="19" customFormat="1" ht="12">
      <c r="A43" s="2" t="s">
        <v>336</v>
      </c>
      <c r="C43" s="19" t="s">
        <v>238</v>
      </c>
      <c r="E43" s="19">
        <v>51433</v>
      </c>
      <c r="G43" s="2">
        <v>988475</v>
      </c>
      <c r="H43" s="2"/>
      <c r="I43" s="2">
        <v>0</v>
      </c>
      <c r="J43" s="2"/>
      <c r="K43" s="2">
        <v>12525039</v>
      </c>
      <c r="L43" s="2"/>
      <c r="M43" s="2">
        <v>63233</v>
      </c>
      <c r="N43" s="2"/>
      <c r="O43" s="2">
        <v>1604796</v>
      </c>
      <c r="P43" s="2"/>
      <c r="Q43" s="2">
        <v>1136834</v>
      </c>
      <c r="R43" s="2"/>
      <c r="S43" s="2">
        <v>35316</v>
      </c>
      <c r="T43" s="2"/>
      <c r="U43" s="2">
        <v>416577</v>
      </c>
      <c r="V43" s="2"/>
      <c r="W43" s="2">
        <v>507462</v>
      </c>
      <c r="X43" s="2"/>
      <c r="Y43" s="2">
        <v>3755</v>
      </c>
      <c r="Z43" s="2"/>
      <c r="AA43" s="2">
        <v>1180551</v>
      </c>
      <c r="AB43" s="2"/>
      <c r="AC43" s="2" t="s">
        <v>336</v>
      </c>
      <c r="AE43" s="19" t="s">
        <v>238</v>
      </c>
      <c r="AG43" s="2">
        <v>13178</v>
      </c>
      <c r="AH43" s="2"/>
      <c r="AI43" s="2">
        <v>34101</v>
      </c>
      <c r="AJ43" s="2"/>
      <c r="AK43" s="2"/>
      <c r="AM43" s="2">
        <v>0</v>
      </c>
      <c r="AN43" s="2"/>
      <c r="AO43" s="2">
        <v>268319</v>
      </c>
      <c r="AP43" s="2"/>
      <c r="AQ43" s="2">
        <v>8528</v>
      </c>
      <c r="AR43" s="2"/>
      <c r="AS43" s="2">
        <v>2116565</v>
      </c>
      <c r="AT43" s="2"/>
      <c r="AU43" s="2">
        <v>0</v>
      </c>
      <c r="AV43" s="2"/>
      <c r="AW43" s="2">
        <v>279627</v>
      </c>
      <c r="AX43" s="2"/>
      <c r="AY43" s="2">
        <v>327</v>
      </c>
      <c r="AZ43" s="2"/>
      <c r="BA43" s="2">
        <v>0</v>
      </c>
      <c r="BB43" s="2"/>
      <c r="BC43" s="36">
        <f t="shared" si="1"/>
        <v>21182683</v>
      </c>
      <c r="BD43" s="2" t="s">
        <v>336</v>
      </c>
      <c r="BF43" s="19" t="s">
        <v>238</v>
      </c>
      <c r="BG43" s="2"/>
      <c r="BH43" s="2">
        <v>373015</v>
      </c>
      <c r="BI43" s="2"/>
      <c r="BJ43" s="13">
        <v>0</v>
      </c>
      <c r="BK43" s="2"/>
      <c r="BL43" s="2"/>
      <c r="BM43" s="2"/>
      <c r="BN43" s="2">
        <v>0</v>
      </c>
      <c r="BO43" s="2"/>
      <c r="BP43" s="36">
        <f t="shared" si="0"/>
        <v>21555698</v>
      </c>
      <c r="BQ43" s="2"/>
      <c r="BR43" s="36">
        <f>GovRev!AX43-BP43</f>
        <v>174463</v>
      </c>
      <c r="BS43" s="2"/>
      <c r="BT43" s="2">
        <v>6601537</v>
      </c>
      <c r="BU43" s="2"/>
      <c r="BV43" s="2">
        <v>0</v>
      </c>
      <c r="BW43" s="2"/>
      <c r="BX43" s="36">
        <f t="shared" si="2"/>
        <v>6776000</v>
      </c>
      <c r="BY43" s="36"/>
      <c r="BZ43" s="36">
        <f>-BX43+GovBS!AC43</f>
        <v>0</v>
      </c>
    </row>
    <row r="44" spans="1:80" s="19" customFormat="1" ht="12">
      <c r="A44" s="2" t="s">
        <v>337</v>
      </c>
      <c r="C44" s="19" t="s">
        <v>288</v>
      </c>
      <c r="E44" s="19">
        <v>51375</v>
      </c>
      <c r="G44" s="2">
        <v>29380</v>
      </c>
      <c r="H44" s="2"/>
      <c r="I44" s="2">
        <v>79357</v>
      </c>
      <c r="J44" s="2"/>
      <c r="K44" s="2">
        <v>4220129</v>
      </c>
      <c r="L44" s="2"/>
      <c r="M44" s="2">
        <v>465415</v>
      </c>
      <c r="N44" s="2"/>
      <c r="O44" s="2">
        <v>345995</v>
      </c>
      <c r="P44" s="2"/>
      <c r="Q44" s="2">
        <v>237999</v>
      </c>
      <c r="R44" s="2"/>
      <c r="S44" s="2">
        <v>85962</v>
      </c>
      <c r="T44" s="2"/>
      <c r="U44" s="2">
        <v>525855</v>
      </c>
      <c r="V44" s="2"/>
      <c r="W44" s="2">
        <v>351235</v>
      </c>
      <c r="X44" s="2"/>
      <c r="Y44" s="2">
        <v>0</v>
      </c>
      <c r="Z44" s="2"/>
      <c r="AA44" s="2">
        <v>873033</v>
      </c>
      <c r="AB44" s="2"/>
      <c r="AC44" s="2" t="s">
        <v>337</v>
      </c>
      <c r="AE44" s="19" t="s">
        <v>288</v>
      </c>
      <c r="AG44" s="2">
        <v>31792</v>
      </c>
      <c r="AH44" s="2"/>
      <c r="AI44" s="2">
        <v>210164</v>
      </c>
      <c r="AJ44" s="2"/>
      <c r="AK44" s="2"/>
      <c r="AM44" s="2">
        <v>0</v>
      </c>
      <c r="AN44" s="2"/>
      <c r="AO44" s="2">
        <v>295429</v>
      </c>
      <c r="AP44" s="2"/>
      <c r="AQ44" s="2">
        <v>2708</v>
      </c>
      <c r="AR44" s="2"/>
      <c r="AS44" s="2">
        <v>2705756</v>
      </c>
      <c r="AT44" s="2"/>
      <c r="AU44" s="2">
        <v>0</v>
      </c>
      <c r="AV44" s="2"/>
      <c r="AW44" s="2">
        <v>128915</v>
      </c>
      <c r="AX44" s="2"/>
      <c r="AY44" s="2">
        <v>188323</v>
      </c>
      <c r="AZ44" s="2"/>
      <c r="BA44" s="13">
        <v>0</v>
      </c>
      <c r="BB44" s="2"/>
      <c r="BC44" s="36">
        <f t="shared" si="1"/>
        <v>10777447</v>
      </c>
      <c r="BD44" s="2" t="s">
        <v>337</v>
      </c>
      <c r="BF44" s="19" t="s">
        <v>288</v>
      </c>
      <c r="BG44" s="2"/>
      <c r="BH44" s="2">
        <v>407416</v>
      </c>
      <c r="BI44" s="2"/>
      <c r="BJ44" s="2">
        <v>0</v>
      </c>
      <c r="BK44" s="2"/>
      <c r="BL44" s="2"/>
      <c r="BM44" s="2"/>
      <c r="BN44" s="2">
        <v>0</v>
      </c>
      <c r="BO44" s="2"/>
      <c r="BP44" s="36">
        <f t="shared" ref="BP44:BP108" si="3">+BC44+BH44+BJ44+BN44+BL44</f>
        <v>11184863</v>
      </c>
      <c r="BQ44" s="2"/>
      <c r="BR44" s="36">
        <f>GovRev!AX44-BP44</f>
        <v>-2472210</v>
      </c>
      <c r="BS44" s="2"/>
      <c r="BT44" s="2">
        <v>7660937</v>
      </c>
      <c r="BU44" s="2"/>
      <c r="BV44" s="2">
        <v>0</v>
      </c>
      <c r="BW44" s="2"/>
      <c r="BX44" s="36">
        <f t="shared" si="2"/>
        <v>5188727</v>
      </c>
      <c r="BY44" s="36"/>
      <c r="BZ44" s="36">
        <f>-BX44+GovBS!AC44</f>
        <v>0</v>
      </c>
    </row>
    <row r="45" spans="1:80" s="19" customFormat="1" ht="12">
      <c r="A45" s="2" t="s">
        <v>338</v>
      </c>
      <c r="C45" s="19" t="s">
        <v>236</v>
      </c>
      <c r="E45" s="19">
        <v>51417</v>
      </c>
      <c r="G45" s="2">
        <v>722578</v>
      </c>
      <c r="H45" s="2"/>
      <c r="I45" s="2">
        <v>416495</v>
      </c>
      <c r="J45" s="2"/>
      <c r="K45" s="2">
        <v>9323493</v>
      </c>
      <c r="L45" s="2"/>
      <c r="M45" s="2">
        <v>429193</v>
      </c>
      <c r="N45" s="2"/>
      <c r="O45" s="2">
        <v>1188355</v>
      </c>
      <c r="P45" s="2"/>
      <c r="Q45" s="2">
        <v>1535135</v>
      </c>
      <c r="R45" s="2"/>
      <c r="S45" s="2">
        <v>81772</v>
      </c>
      <c r="T45" s="2"/>
      <c r="U45" s="2">
        <v>1267573</v>
      </c>
      <c r="V45" s="2"/>
      <c r="W45" s="2">
        <v>498386</v>
      </c>
      <c r="X45" s="2"/>
      <c r="Y45" s="2">
        <v>167179</v>
      </c>
      <c r="Z45" s="2"/>
      <c r="AA45" s="2">
        <v>1087661</v>
      </c>
      <c r="AB45" s="2"/>
      <c r="AC45" s="2" t="s">
        <v>338</v>
      </c>
      <c r="AE45" s="19" t="s">
        <v>236</v>
      </c>
      <c r="AG45" s="2">
        <v>12297</v>
      </c>
      <c r="AH45" s="2"/>
      <c r="AI45" s="2">
        <v>144388</v>
      </c>
      <c r="AJ45" s="2"/>
      <c r="AK45" s="2"/>
      <c r="AM45" s="2">
        <v>368689</v>
      </c>
      <c r="AN45" s="2"/>
      <c r="AO45" s="2">
        <v>183</v>
      </c>
      <c r="AP45" s="2"/>
      <c r="AQ45" s="2">
        <v>82528</v>
      </c>
      <c r="AR45" s="2"/>
      <c r="AS45" s="2">
        <f>978983+49321</f>
        <v>1028304</v>
      </c>
      <c r="AT45" s="2"/>
      <c r="AU45" s="2">
        <v>0</v>
      </c>
      <c r="AV45" s="2"/>
      <c r="AW45" s="2">
        <v>80470</v>
      </c>
      <c r="AX45" s="2"/>
      <c r="AY45" s="2">
        <f>471171+271694</f>
        <v>742865</v>
      </c>
      <c r="AZ45" s="2"/>
      <c r="BA45" s="2">
        <v>0</v>
      </c>
      <c r="BB45" s="2"/>
      <c r="BC45" s="36">
        <f t="shared" si="1"/>
        <v>19177544</v>
      </c>
      <c r="BD45" s="2" t="s">
        <v>338</v>
      </c>
      <c r="BF45" s="19" t="s">
        <v>236</v>
      </c>
      <c r="BG45" s="2"/>
      <c r="BH45" s="2">
        <v>1312906</v>
      </c>
      <c r="BI45" s="2"/>
      <c r="BJ45" s="2">
        <v>0</v>
      </c>
      <c r="BK45" s="2"/>
      <c r="BL45" s="2"/>
      <c r="BM45" s="2"/>
      <c r="BN45" s="2">
        <v>198306</v>
      </c>
      <c r="BO45" s="2"/>
      <c r="BP45" s="36">
        <f t="shared" si="3"/>
        <v>20688756</v>
      </c>
      <c r="BQ45" s="2"/>
      <c r="BR45" s="36">
        <f>GovRev!AX45-BP45</f>
        <v>16348597</v>
      </c>
      <c r="BS45" s="2"/>
      <c r="BT45" s="2">
        <v>16720385</v>
      </c>
      <c r="BU45" s="2"/>
      <c r="BV45" s="2">
        <v>9215</v>
      </c>
      <c r="BW45" s="2"/>
      <c r="BX45" s="36">
        <f t="shared" si="2"/>
        <v>33078197</v>
      </c>
      <c r="BY45" s="36"/>
      <c r="BZ45" s="36">
        <f>-BX45+GovBS!AC45</f>
        <v>0</v>
      </c>
    </row>
    <row r="46" spans="1:80" s="19" customFormat="1" ht="12">
      <c r="A46" s="2" t="s">
        <v>339</v>
      </c>
      <c r="C46" s="19" t="s">
        <v>177</v>
      </c>
      <c r="E46" s="19">
        <v>50948</v>
      </c>
      <c r="G46" s="2">
        <v>0</v>
      </c>
      <c r="H46" s="2"/>
      <c r="I46" s="2">
        <v>0</v>
      </c>
      <c r="J46" s="2"/>
      <c r="K46" s="2">
        <v>6541875</v>
      </c>
      <c r="L46" s="2"/>
      <c r="M46" s="2">
        <v>89629</v>
      </c>
      <c r="N46" s="2"/>
      <c r="O46" s="2">
        <v>1776725</v>
      </c>
      <c r="P46" s="2"/>
      <c r="Q46" s="2">
        <v>1569925</v>
      </c>
      <c r="R46" s="2"/>
      <c r="S46" s="2">
        <v>112411</v>
      </c>
      <c r="T46" s="2"/>
      <c r="U46" s="2">
        <v>826542</v>
      </c>
      <c r="V46" s="2"/>
      <c r="W46" s="2">
        <v>672432</v>
      </c>
      <c r="X46" s="2"/>
      <c r="Y46" s="2">
        <v>248244</v>
      </c>
      <c r="Z46" s="2"/>
      <c r="AA46" s="2">
        <v>1843351</v>
      </c>
      <c r="AB46" s="2"/>
      <c r="AC46" s="13" t="s">
        <v>339</v>
      </c>
      <c r="AE46" s="19" t="s">
        <v>177</v>
      </c>
      <c r="AG46" s="2">
        <v>30056</v>
      </c>
      <c r="AH46" s="2"/>
      <c r="AI46" s="2">
        <v>1119700</v>
      </c>
      <c r="AJ46" s="2"/>
      <c r="AK46" s="2"/>
      <c r="AM46" s="2">
        <v>0</v>
      </c>
      <c r="AN46" s="2"/>
      <c r="AO46" s="2">
        <v>0</v>
      </c>
      <c r="AP46" s="2"/>
      <c r="AQ46" s="2">
        <v>40572</v>
      </c>
      <c r="AR46" s="2"/>
      <c r="AS46" s="2">
        <v>436794</v>
      </c>
      <c r="AT46" s="2"/>
      <c r="AU46" s="13">
        <v>0</v>
      </c>
      <c r="AV46" s="2"/>
      <c r="AW46" s="2">
        <v>0</v>
      </c>
      <c r="AX46" s="2"/>
      <c r="AY46" s="2">
        <v>0</v>
      </c>
      <c r="AZ46" s="2"/>
      <c r="BA46" s="2">
        <v>0</v>
      </c>
      <c r="BB46" s="2"/>
      <c r="BC46" s="36">
        <f t="shared" si="1"/>
        <v>15308256</v>
      </c>
      <c r="BD46" s="13" t="s">
        <v>339</v>
      </c>
      <c r="BF46" s="19" t="s">
        <v>177</v>
      </c>
      <c r="BG46" s="2"/>
      <c r="BH46" s="2">
        <v>25507</v>
      </c>
      <c r="BI46" s="2"/>
      <c r="BJ46" s="13">
        <v>0</v>
      </c>
      <c r="BK46" s="2"/>
      <c r="BL46" s="2"/>
      <c r="BM46" s="2"/>
      <c r="BN46" s="2">
        <v>0</v>
      </c>
      <c r="BO46" s="2"/>
      <c r="BP46" s="36">
        <f t="shared" si="3"/>
        <v>15333763</v>
      </c>
      <c r="BQ46" s="2"/>
      <c r="BR46" s="36">
        <f>GovRev!AX46-BP46</f>
        <v>-489730</v>
      </c>
      <c r="BS46" s="2"/>
      <c r="BT46" s="2">
        <v>10705658</v>
      </c>
      <c r="BU46" s="2"/>
      <c r="BV46" s="2">
        <v>0</v>
      </c>
      <c r="BW46" s="2"/>
      <c r="BX46" s="36">
        <f t="shared" si="2"/>
        <v>10215928</v>
      </c>
      <c r="BY46" s="36"/>
      <c r="BZ46" s="36">
        <f>-BX46+GovBS!AC46</f>
        <v>0</v>
      </c>
      <c r="CB46" s="13" t="s">
        <v>401</v>
      </c>
    </row>
    <row r="47" spans="1:80" s="19" customFormat="1" ht="12">
      <c r="A47" s="2" t="s">
        <v>340</v>
      </c>
      <c r="C47" s="19" t="s">
        <v>250</v>
      </c>
      <c r="E47" s="19">
        <v>63495</v>
      </c>
      <c r="G47" s="2">
        <v>357633</v>
      </c>
      <c r="H47" s="2"/>
      <c r="I47" s="2">
        <v>235535</v>
      </c>
      <c r="J47" s="2"/>
      <c r="K47" s="2">
        <v>2966686</v>
      </c>
      <c r="L47" s="2"/>
      <c r="M47" s="2">
        <f>955429+1658</f>
        <v>957087</v>
      </c>
      <c r="N47" s="2"/>
      <c r="O47" s="2">
        <v>489545</v>
      </c>
      <c r="P47" s="2"/>
      <c r="Q47" s="2">
        <v>100882</v>
      </c>
      <c r="R47" s="2"/>
      <c r="S47" s="2">
        <v>26447</v>
      </c>
      <c r="T47" s="2"/>
      <c r="U47" s="2">
        <v>805030</v>
      </c>
      <c r="V47" s="2"/>
      <c r="W47" s="2">
        <v>376111</v>
      </c>
      <c r="X47" s="2"/>
      <c r="Y47" s="2">
        <v>0</v>
      </c>
      <c r="Z47" s="2"/>
      <c r="AA47" s="2">
        <v>392051</v>
      </c>
      <c r="AB47" s="2"/>
      <c r="AC47" s="13" t="s">
        <v>340</v>
      </c>
      <c r="AE47" s="19" t="s">
        <v>250</v>
      </c>
      <c r="AG47" s="2">
        <v>42747</v>
      </c>
      <c r="AH47" s="2"/>
      <c r="AI47" s="2">
        <v>0</v>
      </c>
      <c r="AJ47" s="2"/>
      <c r="AK47" s="2"/>
      <c r="AM47" s="2">
        <v>0</v>
      </c>
      <c r="AN47" s="2"/>
      <c r="AO47" s="2">
        <v>65105</v>
      </c>
      <c r="AP47" s="2"/>
      <c r="AQ47" s="2">
        <v>10896</v>
      </c>
      <c r="AR47" s="2"/>
      <c r="AS47" s="2">
        <v>499941</v>
      </c>
      <c r="AT47" s="2"/>
      <c r="AU47" s="2">
        <v>0</v>
      </c>
      <c r="AV47" s="2"/>
      <c r="AW47" s="2">
        <v>33333</v>
      </c>
      <c r="AX47" s="2"/>
      <c r="AY47" s="2">
        <v>0</v>
      </c>
      <c r="AZ47" s="2"/>
      <c r="BA47" s="13">
        <v>0</v>
      </c>
      <c r="BB47" s="2"/>
      <c r="BC47" s="36">
        <f t="shared" si="1"/>
        <v>7359029</v>
      </c>
      <c r="BD47" s="13" t="s">
        <v>340</v>
      </c>
      <c r="BF47" s="19" t="s">
        <v>250</v>
      </c>
      <c r="BG47" s="2"/>
      <c r="BH47" s="2">
        <v>106649</v>
      </c>
      <c r="BI47" s="2"/>
      <c r="BJ47" s="2">
        <v>0</v>
      </c>
      <c r="BK47" s="2"/>
      <c r="BL47" s="2"/>
      <c r="BM47" s="2"/>
      <c r="BN47" s="2">
        <v>0</v>
      </c>
      <c r="BO47" s="2"/>
      <c r="BP47" s="36">
        <f t="shared" si="3"/>
        <v>7465678</v>
      </c>
      <c r="BQ47" s="2"/>
      <c r="BR47" s="36">
        <f>GovRev!AX47-BP47</f>
        <v>710294</v>
      </c>
      <c r="BS47" s="2"/>
      <c r="BT47" s="2">
        <v>12965521</v>
      </c>
      <c r="BU47" s="2"/>
      <c r="BV47" s="2">
        <v>0</v>
      </c>
      <c r="BW47" s="2"/>
      <c r="BX47" s="36">
        <f t="shared" si="2"/>
        <v>13675815</v>
      </c>
      <c r="BY47" s="36"/>
      <c r="BZ47" s="36">
        <f>-BX47+GovBS!AC47</f>
        <v>0</v>
      </c>
    </row>
    <row r="48" spans="1:80" s="19" customFormat="1" ht="12">
      <c r="A48" s="2" t="s">
        <v>341</v>
      </c>
      <c r="C48" s="19" t="s">
        <v>242</v>
      </c>
      <c r="E48" s="19">
        <v>51490</v>
      </c>
      <c r="G48" s="2">
        <v>0</v>
      </c>
      <c r="H48" s="2"/>
      <c r="I48" s="2">
        <v>164457</v>
      </c>
      <c r="J48" s="2"/>
      <c r="K48" s="2">
        <v>6125968</v>
      </c>
      <c r="L48" s="2"/>
      <c r="M48" s="2">
        <v>0</v>
      </c>
      <c r="N48" s="2"/>
      <c r="O48" s="2">
        <v>507687</v>
      </c>
      <c r="P48" s="2"/>
      <c r="Q48" s="2">
        <v>540926</v>
      </c>
      <c r="R48" s="2"/>
      <c r="S48" s="2">
        <v>16670</v>
      </c>
      <c r="T48" s="2"/>
      <c r="U48" s="2">
        <v>1430365</v>
      </c>
      <c r="V48" s="2"/>
      <c r="W48" s="2">
        <v>378681</v>
      </c>
      <c r="X48" s="2"/>
      <c r="Y48" s="2">
        <v>0</v>
      </c>
      <c r="Z48" s="2"/>
      <c r="AA48" s="2">
        <v>1113550</v>
      </c>
      <c r="AB48" s="2"/>
      <c r="AC48" s="13" t="s">
        <v>341</v>
      </c>
      <c r="AE48" s="19" t="s">
        <v>242</v>
      </c>
      <c r="AG48" s="2">
        <v>14571</v>
      </c>
      <c r="AH48" s="2"/>
      <c r="AI48" s="2">
        <v>146865</v>
      </c>
      <c r="AJ48" s="2"/>
      <c r="AK48" s="2"/>
      <c r="AM48" s="2">
        <v>0</v>
      </c>
      <c r="AN48" s="2"/>
      <c r="AO48" s="2">
        <v>314053</v>
      </c>
      <c r="AP48" s="2"/>
      <c r="AQ48" s="2">
        <v>34444</v>
      </c>
      <c r="AR48" s="2"/>
      <c r="AS48" s="2">
        <v>6886342</v>
      </c>
      <c r="AT48" s="2"/>
      <c r="AU48" s="2">
        <v>0</v>
      </c>
      <c r="AV48" s="2"/>
      <c r="AW48" s="2">
        <v>70800</v>
      </c>
      <c r="AX48" s="2"/>
      <c r="AY48" s="2">
        <v>0</v>
      </c>
      <c r="AZ48" s="2"/>
      <c r="BA48" s="2">
        <v>0</v>
      </c>
      <c r="BB48" s="2"/>
      <c r="BC48" s="36">
        <f t="shared" si="1"/>
        <v>17745379</v>
      </c>
      <c r="BD48" s="13" t="s">
        <v>341</v>
      </c>
      <c r="BF48" s="19" t="s">
        <v>242</v>
      </c>
      <c r="BG48" s="2"/>
      <c r="BH48" s="2">
        <v>665068</v>
      </c>
      <c r="BI48" s="2"/>
      <c r="BJ48" s="2">
        <v>0</v>
      </c>
      <c r="BK48" s="2"/>
      <c r="BL48" s="2"/>
      <c r="BM48" s="2"/>
      <c r="BN48" s="2">
        <v>0</v>
      </c>
      <c r="BO48" s="2"/>
      <c r="BP48" s="36">
        <f t="shared" si="3"/>
        <v>18410447</v>
      </c>
      <c r="BQ48" s="2"/>
      <c r="BR48" s="36">
        <f>GovRev!AX48-BP48</f>
        <v>-5243049</v>
      </c>
      <c r="BS48" s="2"/>
      <c r="BT48" s="2">
        <v>10717537</v>
      </c>
      <c r="BU48" s="2"/>
      <c r="BV48" s="2">
        <v>0</v>
      </c>
      <c r="BW48" s="2"/>
      <c r="BX48" s="36">
        <f t="shared" si="2"/>
        <v>5474488</v>
      </c>
      <c r="BY48" s="36"/>
      <c r="BZ48" s="36">
        <f>-BX48+GovBS!AC48</f>
        <v>0</v>
      </c>
    </row>
    <row r="49" spans="1:80" s="19" customFormat="1" ht="12">
      <c r="A49" s="2" t="s">
        <v>268</v>
      </c>
      <c r="C49" s="19" t="s">
        <v>164</v>
      </c>
      <c r="E49" s="19">
        <v>50799</v>
      </c>
      <c r="G49" s="2">
        <v>235772</v>
      </c>
      <c r="H49" s="2"/>
      <c r="I49" s="2">
        <v>29250</v>
      </c>
      <c r="J49" s="2"/>
      <c r="K49" s="2">
        <v>3614713</v>
      </c>
      <c r="L49" s="2"/>
      <c r="M49" s="2">
        <v>188290</v>
      </c>
      <c r="N49" s="2"/>
      <c r="O49" s="2">
        <v>356036</v>
      </c>
      <c r="P49" s="2"/>
      <c r="Q49" s="2">
        <v>203977</v>
      </c>
      <c r="R49" s="2"/>
      <c r="S49" s="2">
        <v>45750</v>
      </c>
      <c r="T49" s="2"/>
      <c r="U49" s="2">
        <v>605068</v>
      </c>
      <c r="V49" s="2"/>
      <c r="W49" s="2">
        <v>361225</v>
      </c>
      <c r="X49" s="2"/>
      <c r="Y49" s="2">
        <v>17642</v>
      </c>
      <c r="Z49" s="2"/>
      <c r="AA49" s="2">
        <v>552832</v>
      </c>
      <c r="AB49" s="2"/>
      <c r="AC49" s="13" t="s">
        <v>268</v>
      </c>
      <c r="AE49" s="19" t="s">
        <v>164</v>
      </c>
      <c r="AG49" s="2">
        <v>51573</v>
      </c>
      <c r="AH49" s="2"/>
      <c r="AI49" s="2">
        <v>41016</v>
      </c>
      <c r="AJ49" s="2"/>
      <c r="AK49" s="2"/>
      <c r="AM49" s="2">
        <v>341669</v>
      </c>
      <c r="AN49" s="2"/>
      <c r="AO49" s="2">
        <v>0</v>
      </c>
      <c r="AP49" s="2"/>
      <c r="AQ49" s="2">
        <v>5149</v>
      </c>
      <c r="AR49" s="2"/>
      <c r="AS49" s="2">
        <v>424236</v>
      </c>
      <c r="AT49" s="2"/>
      <c r="AU49" s="2">
        <v>0</v>
      </c>
      <c r="AV49" s="2"/>
      <c r="AW49" s="2">
        <v>197747</v>
      </c>
      <c r="AX49" s="2"/>
      <c r="AY49" s="2">
        <v>25996</v>
      </c>
      <c r="AZ49" s="2"/>
      <c r="BA49" s="2">
        <v>0</v>
      </c>
      <c r="BB49" s="2"/>
      <c r="BC49" s="36">
        <f t="shared" si="1"/>
        <v>7297941</v>
      </c>
      <c r="BD49" s="13" t="s">
        <v>268</v>
      </c>
      <c r="BF49" s="19" t="s">
        <v>164</v>
      </c>
      <c r="BG49" s="2"/>
      <c r="BH49" s="2">
        <v>296500</v>
      </c>
      <c r="BI49" s="2"/>
      <c r="BJ49" s="13">
        <v>0</v>
      </c>
      <c r="BK49" s="2"/>
      <c r="BL49" s="2"/>
      <c r="BM49" s="2"/>
      <c r="BN49" s="2">
        <v>0</v>
      </c>
      <c r="BO49" s="2"/>
      <c r="BP49" s="36">
        <f t="shared" si="3"/>
        <v>7594441</v>
      </c>
      <c r="BQ49" s="2"/>
      <c r="BR49" s="36">
        <f>GovRev!AX49-BP49</f>
        <v>-213766</v>
      </c>
      <c r="BS49" s="2"/>
      <c r="BT49" s="2">
        <v>8583535</v>
      </c>
      <c r="BU49" s="2"/>
      <c r="BV49" s="2">
        <v>0</v>
      </c>
      <c r="BW49" s="2"/>
      <c r="BX49" s="36">
        <f t="shared" si="2"/>
        <v>8369769</v>
      </c>
      <c r="BY49" s="36"/>
      <c r="BZ49" s="36">
        <f>-BX49+GovBS!AC49</f>
        <v>0</v>
      </c>
    </row>
    <row r="50" spans="1:80" s="19" customFormat="1" ht="12">
      <c r="A50" s="13" t="s">
        <v>387</v>
      </c>
      <c r="C50" s="19" t="s">
        <v>169</v>
      </c>
      <c r="E50" s="19">
        <v>51532</v>
      </c>
      <c r="G50" s="2">
        <v>0</v>
      </c>
      <c r="H50" s="2"/>
      <c r="I50" s="2">
        <v>708194</v>
      </c>
      <c r="J50" s="2"/>
      <c r="K50" s="2">
        <v>5599301</v>
      </c>
      <c r="L50" s="2"/>
      <c r="M50" s="2">
        <v>6204</v>
      </c>
      <c r="N50" s="2"/>
      <c r="O50" s="2">
        <v>796470</v>
      </c>
      <c r="P50" s="2"/>
      <c r="Q50" s="2">
        <v>1007986</v>
      </c>
      <c r="R50" s="2"/>
      <c r="S50" s="2">
        <v>46803</v>
      </c>
      <c r="T50" s="2"/>
      <c r="U50" s="2">
        <v>680162</v>
      </c>
      <c r="V50" s="2"/>
      <c r="W50" s="2">
        <v>523497</v>
      </c>
      <c r="X50" s="2"/>
      <c r="Y50" s="2">
        <v>118670</v>
      </c>
      <c r="Z50" s="2"/>
      <c r="AA50" s="2">
        <v>1648640</v>
      </c>
      <c r="AB50" s="2"/>
      <c r="AC50" s="13" t="s">
        <v>269</v>
      </c>
      <c r="AE50" s="19" t="s">
        <v>169</v>
      </c>
      <c r="AG50" s="2">
        <v>51571</v>
      </c>
      <c r="AH50" s="2"/>
      <c r="AI50" s="2">
        <v>24466</v>
      </c>
      <c r="AJ50" s="2"/>
      <c r="AK50" s="2"/>
      <c r="AM50" s="2">
        <v>0</v>
      </c>
      <c r="AN50" s="2"/>
      <c r="AO50" s="2">
        <v>239541</v>
      </c>
      <c r="AP50" s="2"/>
      <c r="AQ50" s="2">
        <v>17258</v>
      </c>
      <c r="AR50" s="2"/>
      <c r="AS50" s="2">
        <v>209275</v>
      </c>
      <c r="AT50" s="2"/>
      <c r="AU50" s="13">
        <v>0</v>
      </c>
      <c r="AV50" s="2"/>
      <c r="AW50" s="2">
        <v>450671</v>
      </c>
      <c r="AX50" s="2"/>
      <c r="AY50" s="2">
        <v>177468</v>
      </c>
      <c r="AZ50" s="2"/>
      <c r="BA50" s="13">
        <v>0</v>
      </c>
      <c r="BB50" s="2"/>
      <c r="BC50" s="36">
        <f t="shared" si="1"/>
        <v>12306177</v>
      </c>
      <c r="BD50" s="13" t="s">
        <v>269</v>
      </c>
      <c r="BF50" s="19" t="s">
        <v>169</v>
      </c>
      <c r="BG50" s="2"/>
      <c r="BH50" s="2">
        <v>163000</v>
      </c>
      <c r="BI50" s="2"/>
      <c r="BJ50" s="2">
        <v>0</v>
      </c>
      <c r="BK50" s="2"/>
      <c r="BL50" s="2"/>
      <c r="BM50" s="2"/>
      <c r="BN50" s="2">
        <v>0</v>
      </c>
      <c r="BO50" s="2"/>
      <c r="BP50" s="36">
        <f t="shared" si="3"/>
        <v>12469177</v>
      </c>
      <c r="BQ50" s="2"/>
      <c r="BR50" s="36">
        <f>GovRev!AX50-BP50</f>
        <v>536296</v>
      </c>
      <c r="BS50" s="2"/>
      <c r="BT50" s="2">
        <v>5440900</v>
      </c>
      <c r="BU50" s="2"/>
      <c r="BV50" s="2">
        <v>40256</v>
      </c>
      <c r="BW50" s="2"/>
      <c r="BX50" s="36">
        <f t="shared" si="2"/>
        <v>6017452</v>
      </c>
      <c r="BY50" s="36"/>
      <c r="BZ50" s="64">
        <f>-BX50+GovBS!AC50</f>
        <v>0</v>
      </c>
    </row>
    <row r="51" spans="1:80" s="19" customFormat="1" ht="12">
      <c r="A51" s="13" t="s">
        <v>289</v>
      </c>
      <c r="C51" s="19" t="s">
        <v>248</v>
      </c>
      <c r="E51" s="19">
        <v>62026</v>
      </c>
      <c r="G51" s="2">
        <v>689986</v>
      </c>
      <c r="H51" s="2"/>
      <c r="I51" s="2">
        <v>141946</v>
      </c>
      <c r="J51" s="2"/>
      <c r="K51" s="2">
        <v>3230249</v>
      </c>
      <c r="L51" s="2"/>
      <c r="M51" s="2">
        <f>4677+875</f>
        <v>5552</v>
      </c>
      <c r="N51" s="2"/>
      <c r="O51" s="2">
        <v>837203</v>
      </c>
      <c r="P51" s="2"/>
      <c r="Q51" s="2">
        <v>563425</v>
      </c>
      <c r="R51" s="2"/>
      <c r="S51" s="2">
        <v>18862</v>
      </c>
      <c r="T51" s="2"/>
      <c r="U51" s="2">
        <v>273963</v>
      </c>
      <c r="V51" s="2"/>
      <c r="W51" s="2">
        <v>243604</v>
      </c>
      <c r="X51" s="2"/>
      <c r="Y51" s="2">
        <v>32979</v>
      </c>
      <c r="Z51" s="2"/>
      <c r="AA51" s="2">
        <v>1296157</v>
      </c>
      <c r="AB51" s="2"/>
      <c r="AC51" s="13" t="s">
        <v>289</v>
      </c>
      <c r="AE51" s="19" t="s">
        <v>248</v>
      </c>
      <c r="AG51" s="2">
        <v>0</v>
      </c>
      <c r="AH51" s="2"/>
      <c r="AI51" s="2">
        <v>104254</v>
      </c>
      <c r="AJ51" s="2"/>
      <c r="AK51" s="2"/>
      <c r="AM51" s="2">
        <v>243440</v>
      </c>
      <c r="AN51" s="2"/>
      <c r="AO51" s="2">
        <v>1618</v>
      </c>
      <c r="AP51" s="2"/>
      <c r="AQ51" s="2">
        <v>32007</v>
      </c>
      <c r="AR51" s="2"/>
      <c r="AS51" s="2">
        <v>72</v>
      </c>
      <c r="AT51" s="2"/>
      <c r="AU51" s="2">
        <v>0</v>
      </c>
      <c r="AV51" s="2"/>
      <c r="AW51" s="2">
        <v>0</v>
      </c>
      <c r="AX51" s="2"/>
      <c r="AY51" s="2">
        <v>0</v>
      </c>
      <c r="AZ51" s="2"/>
      <c r="BA51" s="2">
        <v>0</v>
      </c>
      <c r="BB51" s="2"/>
      <c r="BC51" s="36">
        <f t="shared" si="1"/>
        <v>7715317</v>
      </c>
      <c r="BD51" s="13" t="s">
        <v>289</v>
      </c>
      <c r="BF51" s="19" t="s">
        <v>248</v>
      </c>
      <c r="BG51" s="2"/>
      <c r="BH51" s="2">
        <v>0</v>
      </c>
      <c r="BI51" s="2"/>
      <c r="BJ51" s="2">
        <v>0</v>
      </c>
      <c r="BK51" s="2"/>
      <c r="BL51" s="2"/>
      <c r="BM51" s="2"/>
      <c r="BN51" s="2">
        <v>0</v>
      </c>
      <c r="BO51" s="2"/>
      <c r="BP51" s="36">
        <f t="shared" si="3"/>
        <v>7715317</v>
      </c>
      <c r="BQ51" s="2"/>
      <c r="BR51" s="36">
        <f>GovRev!AX51-BP51</f>
        <v>209639</v>
      </c>
      <c r="BS51" s="2"/>
      <c r="BT51" s="2">
        <v>9318317</v>
      </c>
      <c r="BU51" s="2"/>
      <c r="BV51" s="2">
        <v>0</v>
      </c>
      <c r="BW51" s="2"/>
      <c r="BX51" s="36">
        <f t="shared" si="2"/>
        <v>9527956</v>
      </c>
      <c r="BY51" s="36"/>
      <c r="BZ51" s="36">
        <f>-BX51+GovBS!AC51</f>
        <v>0</v>
      </c>
    </row>
    <row r="52" spans="1:80" s="19" customFormat="1" ht="12">
      <c r="A52" s="13" t="s">
        <v>398</v>
      </c>
      <c r="C52" s="19" t="s">
        <v>282</v>
      </c>
      <c r="G52" s="2">
        <v>1534943</v>
      </c>
      <c r="H52" s="2"/>
      <c r="I52" s="2">
        <v>857076</v>
      </c>
      <c r="J52" s="2"/>
      <c r="K52" s="2">
        <v>3787584</v>
      </c>
      <c r="L52" s="2"/>
      <c r="M52" s="2">
        <f>231946+137677</f>
        <v>369623</v>
      </c>
      <c r="N52" s="2"/>
      <c r="O52" s="2">
        <v>1044213</v>
      </c>
      <c r="P52" s="2"/>
      <c r="Q52" s="2">
        <v>1087711</v>
      </c>
      <c r="R52" s="2"/>
      <c r="S52" s="2">
        <v>60629</v>
      </c>
      <c r="T52" s="2"/>
      <c r="U52" s="2">
        <v>938195</v>
      </c>
      <c r="V52" s="2"/>
      <c r="W52" s="2">
        <v>358351</v>
      </c>
      <c r="X52" s="2"/>
      <c r="Y52" s="2">
        <v>0</v>
      </c>
      <c r="Z52" s="2"/>
      <c r="AA52" s="2">
        <v>1303583</v>
      </c>
      <c r="AB52" s="2"/>
      <c r="AC52" s="13" t="s">
        <v>398</v>
      </c>
      <c r="AE52" s="19" t="s">
        <v>282</v>
      </c>
      <c r="AG52" s="2">
        <v>16036</v>
      </c>
      <c r="AH52" s="2"/>
      <c r="AI52" s="2">
        <v>28763</v>
      </c>
      <c r="AJ52" s="2"/>
      <c r="AK52" s="2"/>
      <c r="AM52" s="2">
        <v>0</v>
      </c>
      <c r="AN52" s="2"/>
      <c r="AO52" s="2">
        <v>255283</v>
      </c>
      <c r="AP52" s="2"/>
      <c r="AQ52" s="2">
        <v>34033</v>
      </c>
      <c r="AR52" s="2"/>
      <c r="AS52" s="2">
        <v>4383936</v>
      </c>
      <c r="AT52" s="2"/>
      <c r="AU52" s="2">
        <v>0</v>
      </c>
      <c r="AV52" s="2"/>
      <c r="AW52" s="2">
        <v>552723</v>
      </c>
      <c r="AX52" s="2"/>
      <c r="AY52" s="2">
        <v>262838</v>
      </c>
      <c r="AZ52" s="2"/>
      <c r="BA52" s="2">
        <v>0</v>
      </c>
      <c r="BB52" s="2"/>
      <c r="BC52" s="36">
        <f t="shared" si="1"/>
        <v>16875520</v>
      </c>
      <c r="BD52" s="13" t="s">
        <v>398</v>
      </c>
      <c r="BF52" s="19" t="s">
        <v>282</v>
      </c>
      <c r="BG52" s="2"/>
      <c r="BH52" s="2">
        <v>1555271</v>
      </c>
      <c r="BI52" s="2"/>
      <c r="BJ52" s="13">
        <v>0</v>
      </c>
      <c r="BK52" s="2"/>
      <c r="BL52" s="2"/>
      <c r="BM52" s="2"/>
      <c r="BN52" s="2">
        <v>0</v>
      </c>
      <c r="BO52" s="2"/>
      <c r="BP52" s="36">
        <f t="shared" si="3"/>
        <v>18430791</v>
      </c>
      <c r="BQ52" s="2"/>
      <c r="BR52" s="36">
        <f>GovRev!AX52-BP52</f>
        <v>-3959107</v>
      </c>
      <c r="BS52" s="2"/>
      <c r="BT52" s="2">
        <v>12343842</v>
      </c>
      <c r="BU52" s="2"/>
      <c r="BV52" s="2"/>
      <c r="BW52" s="2"/>
      <c r="BX52" s="36">
        <f t="shared" si="2"/>
        <v>8384735</v>
      </c>
      <c r="BY52" s="36"/>
      <c r="BZ52" s="36">
        <f>-BX52+GovBS!AC52</f>
        <v>0</v>
      </c>
      <c r="CB52" s="3" t="s">
        <v>402</v>
      </c>
    </row>
    <row r="53" spans="1:80" s="19" customFormat="1" ht="12">
      <c r="A53" s="13" t="s">
        <v>423</v>
      </c>
      <c r="C53" s="19" t="s">
        <v>157</v>
      </c>
      <c r="E53" s="19">
        <v>51607</v>
      </c>
      <c r="G53" s="2">
        <v>425695</v>
      </c>
      <c r="H53" s="2"/>
      <c r="I53" s="2">
        <v>8000</v>
      </c>
      <c r="J53" s="2"/>
      <c r="K53" s="2">
        <v>3835056</v>
      </c>
      <c r="L53" s="2"/>
      <c r="M53" s="2">
        <v>133687</v>
      </c>
      <c r="N53" s="2"/>
      <c r="O53" s="2">
        <v>469828</v>
      </c>
      <c r="P53" s="2"/>
      <c r="Q53" s="2">
        <v>124606</v>
      </c>
      <c r="R53" s="2"/>
      <c r="S53" s="2">
        <v>330126</v>
      </c>
      <c r="T53" s="2"/>
      <c r="U53" s="2">
        <v>843876</v>
      </c>
      <c r="V53" s="2"/>
      <c r="W53" s="2">
        <v>451415</v>
      </c>
      <c r="X53" s="2"/>
      <c r="Y53" s="2">
        <v>61404</v>
      </c>
      <c r="Z53" s="2"/>
      <c r="AA53" s="2">
        <v>2062754</v>
      </c>
      <c r="AB53" s="2"/>
      <c r="AC53" s="13" t="s">
        <v>423</v>
      </c>
      <c r="AE53" s="19" t="s">
        <v>157</v>
      </c>
      <c r="AG53" s="2">
        <v>4471</v>
      </c>
      <c r="AH53" s="2"/>
      <c r="AI53" s="2">
        <v>183531</v>
      </c>
      <c r="AJ53" s="2"/>
      <c r="AK53" s="2"/>
      <c r="AM53" s="2">
        <v>0</v>
      </c>
      <c r="AN53" s="2"/>
      <c r="AO53" s="2">
        <v>186851</v>
      </c>
      <c r="AP53" s="2"/>
      <c r="AQ53" s="2">
        <v>5978</v>
      </c>
      <c r="AR53" s="2"/>
      <c r="AS53" s="2">
        <v>0</v>
      </c>
      <c r="AT53" s="2"/>
      <c r="AU53" s="2">
        <v>0</v>
      </c>
      <c r="AV53" s="2"/>
      <c r="AW53" s="2">
        <v>0</v>
      </c>
      <c r="AX53" s="2"/>
      <c r="AY53" s="2">
        <v>0</v>
      </c>
      <c r="AZ53" s="2"/>
      <c r="BA53" s="13">
        <v>0</v>
      </c>
      <c r="BB53" s="2"/>
      <c r="BC53" s="36">
        <f t="shared" si="1"/>
        <v>9127278</v>
      </c>
      <c r="BD53" s="13" t="s">
        <v>423</v>
      </c>
      <c r="BF53" s="19" t="s">
        <v>157</v>
      </c>
      <c r="BG53" s="2"/>
      <c r="BH53" s="2">
        <v>1042364</v>
      </c>
      <c r="BI53" s="2"/>
      <c r="BJ53" s="2">
        <v>0</v>
      </c>
      <c r="BK53" s="2"/>
      <c r="BL53" s="2"/>
      <c r="BM53" s="2"/>
      <c r="BN53" s="2">
        <v>0</v>
      </c>
      <c r="BO53" s="2"/>
      <c r="BP53" s="36">
        <f t="shared" si="3"/>
        <v>10169642</v>
      </c>
      <c r="BQ53" s="2"/>
      <c r="BR53" s="36">
        <f>GovRev!AX53-BP53</f>
        <v>-695937</v>
      </c>
      <c r="BS53" s="2"/>
      <c r="BT53" s="2">
        <v>3554873</v>
      </c>
      <c r="BU53" s="2"/>
      <c r="BV53" s="2">
        <v>0</v>
      </c>
      <c r="BW53" s="2"/>
      <c r="BX53" s="36">
        <f t="shared" si="2"/>
        <v>2858936</v>
      </c>
      <c r="BY53" s="36"/>
      <c r="BZ53" s="36">
        <f>-BX53+GovBS!AC53</f>
        <v>0</v>
      </c>
    </row>
    <row r="54" spans="1:80" s="19" customFormat="1" ht="12">
      <c r="A54" s="13" t="s">
        <v>284</v>
      </c>
      <c r="C54" s="19" t="s">
        <v>285</v>
      </c>
      <c r="E54" s="19">
        <v>65268</v>
      </c>
      <c r="G54" s="2">
        <v>215530</v>
      </c>
      <c r="H54" s="2"/>
      <c r="I54" s="2">
        <v>6154509</v>
      </c>
      <c r="J54" s="2"/>
      <c r="K54" s="2">
        <v>0</v>
      </c>
      <c r="L54" s="2"/>
      <c r="M54" s="2">
        <v>19103</v>
      </c>
      <c r="N54" s="2"/>
      <c r="O54" s="2">
        <v>767580</v>
      </c>
      <c r="P54" s="2"/>
      <c r="Q54" s="2">
        <v>266169</v>
      </c>
      <c r="R54" s="2"/>
      <c r="S54" s="2">
        <v>241966</v>
      </c>
      <c r="T54" s="2"/>
      <c r="U54" s="2">
        <v>904470</v>
      </c>
      <c r="V54" s="2"/>
      <c r="W54" s="2">
        <v>386866</v>
      </c>
      <c r="X54" s="2"/>
      <c r="Y54" s="2">
        <v>165914</v>
      </c>
      <c r="Z54" s="2"/>
      <c r="AA54" s="2">
        <v>1018975</v>
      </c>
      <c r="AB54" s="2"/>
      <c r="AC54" s="13" t="s">
        <v>284</v>
      </c>
      <c r="AE54" s="19" t="s">
        <v>285</v>
      </c>
      <c r="AG54" s="2">
        <v>9339</v>
      </c>
      <c r="AH54" s="2"/>
      <c r="AI54" s="2">
        <v>177402</v>
      </c>
      <c r="AJ54" s="2"/>
      <c r="AK54" s="2"/>
      <c r="AM54" s="2">
        <v>0</v>
      </c>
      <c r="AN54" s="2"/>
      <c r="AO54" s="2">
        <v>585</v>
      </c>
      <c r="AP54" s="2"/>
      <c r="AQ54" s="2">
        <v>26287</v>
      </c>
      <c r="AR54" s="2"/>
      <c r="AS54" s="2">
        <v>10698</v>
      </c>
      <c r="AT54" s="2"/>
      <c r="AU54" s="13">
        <v>0</v>
      </c>
      <c r="AV54" s="2"/>
      <c r="AW54" s="2">
        <v>94353</v>
      </c>
      <c r="AX54" s="2"/>
      <c r="AY54" s="2">
        <v>15294</v>
      </c>
      <c r="AZ54" s="2"/>
      <c r="BA54" s="2">
        <v>0</v>
      </c>
      <c r="BB54" s="2"/>
      <c r="BC54" s="36">
        <f t="shared" si="1"/>
        <v>10475040</v>
      </c>
      <c r="BD54" s="13" t="s">
        <v>284</v>
      </c>
      <c r="BF54" s="19" t="s">
        <v>285</v>
      </c>
      <c r="BG54" s="2"/>
      <c r="BH54" s="2">
        <v>121639</v>
      </c>
      <c r="BI54" s="2"/>
      <c r="BJ54" s="2">
        <v>0</v>
      </c>
      <c r="BK54" s="2"/>
      <c r="BL54" s="2"/>
      <c r="BM54" s="2"/>
      <c r="BN54" s="2">
        <v>0</v>
      </c>
      <c r="BO54" s="2"/>
      <c r="BP54" s="36">
        <f t="shared" si="3"/>
        <v>10596679</v>
      </c>
      <c r="BQ54" s="2"/>
      <c r="BR54" s="36">
        <f>GovRev!AX54-BP54</f>
        <v>647086</v>
      </c>
      <c r="BS54" s="2"/>
      <c r="BT54" s="2">
        <v>1283939</v>
      </c>
      <c r="BU54" s="2"/>
      <c r="BV54" s="2">
        <v>0</v>
      </c>
      <c r="BW54" s="2"/>
      <c r="BX54" s="36">
        <f t="shared" si="2"/>
        <v>1931025</v>
      </c>
      <c r="BY54" s="36"/>
      <c r="BZ54" s="36">
        <f>-BX54+GovBS!AC54</f>
        <v>0</v>
      </c>
    </row>
    <row r="55" spans="1:80" s="19" customFormat="1" ht="12">
      <c r="A55" s="13" t="s">
        <v>342</v>
      </c>
      <c r="C55" s="19" t="s">
        <v>252</v>
      </c>
      <c r="E55" s="19">
        <v>51631</v>
      </c>
      <c r="G55" s="2">
        <v>1525916</v>
      </c>
      <c r="H55" s="2"/>
      <c r="I55" s="2">
        <v>5615</v>
      </c>
      <c r="J55" s="2"/>
      <c r="K55" s="2">
        <v>6008478</v>
      </c>
      <c r="L55" s="2"/>
      <c r="M55" s="2">
        <v>250692</v>
      </c>
      <c r="N55" s="2"/>
      <c r="O55" s="2">
        <v>1279897</v>
      </c>
      <c r="P55" s="2"/>
      <c r="Q55" s="2">
        <v>446360</v>
      </c>
      <c r="R55" s="2"/>
      <c r="S55" s="2">
        <v>65826</v>
      </c>
      <c r="T55" s="2"/>
      <c r="U55" s="2">
        <v>1777271</v>
      </c>
      <c r="V55" s="2"/>
      <c r="W55" s="2">
        <v>529291</v>
      </c>
      <c r="X55" s="2"/>
      <c r="Y55" s="2">
        <v>39693</v>
      </c>
      <c r="Z55" s="2"/>
      <c r="AA55" s="2">
        <v>1116459</v>
      </c>
      <c r="AB55" s="2"/>
      <c r="AC55" s="13" t="s">
        <v>342</v>
      </c>
      <c r="AE55" s="19" t="s">
        <v>252</v>
      </c>
      <c r="AG55" s="2">
        <v>47484</v>
      </c>
      <c r="AH55" s="2"/>
      <c r="AI55" s="2">
        <v>219513</v>
      </c>
      <c r="AJ55" s="2"/>
      <c r="AK55" s="2"/>
      <c r="AM55" s="2">
        <v>342885</v>
      </c>
      <c r="AN55" s="2"/>
      <c r="AO55" s="2">
        <v>1869</v>
      </c>
      <c r="AP55" s="2"/>
      <c r="AQ55" s="2">
        <v>91006</v>
      </c>
      <c r="AR55" s="2"/>
      <c r="AS55" s="2">
        <v>633070</v>
      </c>
      <c r="AT55" s="2"/>
      <c r="AU55" s="2">
        <v>0</v>
      </c>
      <c r="AV55" s="2"/>
      <c r="AW55" s="2">
        <v>144000</v>
      </c>
      <c r="AX55" s="2"/>
      <c r="AY55" s="2">
        <v>282927</v>
      </c>
      <c r="AZ55" s="2"/>
      <c r="BA55" s="2">
        <v>0</v>
      </c>
      <c r="BB55" s="2"/>
      <c r="BC55" s="36">
        <f t="shared" si="1"/>
        <v>14808252</v>
      </c>
      <c r="BD55" s="13" t="s">
        <v>342</v>
      </c>
      <c r="BF55" s="19" t="s">
        <v>252</v>
      </c>
      <c r="BG55" s="2"/>
      <c r="BH55" s="2">
        <v>522985</v>
      </c>
      <c r="BI55" s="2"/>
      <c r="BJ55" s="13">
        <v>0</v>
      </c>
      <c r="BK55" s="2"/>
      <c r="BL55" s="2"/>
      <c r="BM55" s="2"/>
      <c r="BN55" s="2">
        <v>0</v>
      </c>
      <c r="BO55" s="2"/>
      <c r="BP55" s="36">
        <f t="shared" si="3"/>
        <v>15331237</v>
      </c>
      <c r="BQ55" s="2"/>
      <c r="BR55" s="36">
        <f>GovRev!AX55-BP55</f>
        <v>197176</v>
      </c>
      <c r="BS55" s="2"/>
      <c r="BT55" s="2">
        <v>9642776</v>
      </c>
      <c r="BU55" s="2"/>
      <c r="BV55" s="2">
        <v>0</v>
      </c>
      <c r="BW55" s="2"/>
      <c r="BX55" s="36">
        <f t="shared" si="2"/>
        <v>9839952</v>
      </c>
      <c r="BY55" s="36"/>
      <c r="BZ55" s="36">
        <f>-BX55+GovBS!AC55</f>
        <v>0</v>
      </c>
    </row>
    <row r="56" spans="1:80" s="19" customFormat="1" ht="12">
      <c r="A56" s="13" t="s">
        <v>270</v>
      </c>
      <c r="C56" s="19" t="s">
        <v>171</v>
      </c>
      <c r="E56" s="19">
        <v>62802</v>
      </c>
      <c r="G56" s="2">
        <v>251430</v>
      </c>
      <c r="H56" s="2"/>
      <c r="I56" s="2">
        <v>149295</v>
      </c>
      <c r="J56" s="2"/>
      <c r="K56" s="2">
        <v>3275962</v>
      </c>
      <c r="L56" s="2"/>
      <c r="M56" s="2">
        <v>339928</v>
      </c>
      <c r="N56" s="2"/>
      <c r="O56" s="2">
        <v>561734</v>
      </c>
      <c r="P56" s="2"/>
      <c r="Q56" s="2">
        <v>162366</v>
      </c>
      <c r="R56" s="2"/>
      <c r="S56" s="2">
        <v>55375</v>
      </c>
      <c r="T56" s="2"/>
      <c r="U56" s="2">
        <v>396984</v>
      </c>
      <c r="V56" s="2"/>
      <c r="W56" s="2">
        <v>438857</v>
      </c>
      <c r="X56" s="2"/>
      <c r="Y56" s="2">
        <v>2482</v>
      </c>
      <c r="Z56" s="2"/>
      <c r="AA56" s="2">
        <v>690263</v>
      </c>
      <c r="AB56" s="2"/>
      <c r="AC56" s="13" t="s">
        <v>270</v>
      </c>
      <c r="AE56" s="19" t="s">
        <v>171</v>
      </c>
      <c r="AG56" s="2">
        <v>0</v>
      </c>
      <c r="AH56" s="2"/>
      <c r="AI56" s="2">
        <v>110261</v>
      </c>
      <c r="AJ56" s="2"/>
      <c r="AK56" s="2"/>
      <c r="AM56" s="2">
        <v>0</v>
      </c>
      <c r="AN56" s="2"/>
      <c r="AO56" s="2">
        <v>198498</v>
      </c>
      <c r="AP56" s="2"/>
      <c r="AQ56" s="2">
        <v>30904</v>
      </c>
      <c r="AR56" s="2"/>
      <c r="AS56" s="2">
        <v>0</v>
      </c>
      <c r="AT56" s="2"/>
      <c r="AU56" s="2">
        <v>0</v>
      </c>
      <c r="AV56" s="2"/>
      <c r="AW56" s="2">
        <v>58456</v>
      </c>
      <c r="AX56" s="2"/>
      <c r="AY56" s="2">
        <v>0</v>
      </c>
      <c r="AZ56" s="2"/>
      <c r="BA56" s="13">
        <v>0</v>
      </c>
      <c r="BB56" s="2"/>
      <c r="BC56" s="36">
        <f t="shared" si="1"/>
        <v>6722795</v>
      </c>
      <c r="BD56" s="13" t="s">
        <v>270</v>
      </c>
      <c r="BF56" s="19" t="s">
        <v>171</v>
      </c>
      <c r="BG56" s="2"/>
      <c r="BH56" s="2">
        <v>290000</v>
      </c>
      <c r="BI56" s="2"/>
      <c r="BJ56" s="2">
        <v>0</v>
      </c>
      <c r="BK56" s="2"/>
      <c r="BL56" s="2"/>
      <c r="BM56" s="2"/>
      <c r="BN56" s="2">
        <v>0</v>
      </c>
      <c r="BO56" s="2"/>
      <c r="BP56" s="36">
        <f t="shared" si="3"/>
        <v>7012795</v>
      </c>
      <c r="BQ56" s="2"/>
      <c r="BR56" s="36">
        <f>GovRev!AX56-BP56</f>
        <v>1183593</v>
      </c>
      <c r="BS56" s="2"/>
      <c r="BT56" s="2">
        <v>6140749</v>
      </c>
      <c r="BU56" s="2"/>
      <c r="BV56" s="2">
        <v>0</v>
      </c>
      <c r="BW56" s="2"/>
      <c r="BX56" s="36">
        <f t="shared" si="2"/>
        <v>7324342</v>
      </c>
      <c r="BY56" s="36"/>
      <c r="BZ56" s="36">
        <f>-BX56+GovBS!AC56</f>
        <v>0</v>
      </c>
    </row>
    <row r="57" spans="1:80" s="19" customFormat="1" ht="12">
      <c r="A57" s="13" t="s">
        <v>287</v>
      </c>
      <c r="C57" s="19" t="s">
        <v>220</v>
      </c>
      <c r="E57" s="19">
        <v>62125</v>
      </c>
      <c r="G57" s="2">
        <v>2012520</v>
      </c>
      <c r="H57" s="2"/>
      <c r="I57" s="2">
        <v>1202072</v>
      </c>
      <c r="J57" s="2"/>
      <c r="K57" s="2">
        <v>9278123</v>
      </c>
      <c r="L57" s="2"/>
      <c r="M57" s="2">
        <f>1499841+49918</f>
        <v>1549759</v>
      </c>
      <c r="N57" s="2"/>
      <c r="O57" s="2">
        <v>1212143</v>
      </c>
      <c r="P57" s="2"/>
      <c r="Q57" s="2">
        <v>217235</v>
      </c>
      <c r="R57" s="2"/>
      <c r="S57" s="2">
        <v>33115</v>
      </c>
      <c r="T57" s="2"/>
      <c r="U57" s="2">
        <v>2362729</v>
      </c>
      <c r="V57" s="2"/>
      <c r="W57" s="2">
        <v>607005</v>
      </c>
      <c r="X57" s="2"/>
      <c r="Y57" s="2">
        <v>163732</v>
      </c>
      <c r="Z57" s="2"/>
      <c r="AA57" s="2">
        <v>1438851</v>
      </c>
      <c r="AB57" s="2"/>
      <c r="AC57" s="13" t="s">
        <v>287</v>
      </c>
      <c r="AE57" s="19" t="s">
        <v>220</v>
      </c>
      <c r="AG57" s="2">
        <v>88703</v>
      </c>
      <c r="AH57" s="2"/>
      <c r="AI57" s="2">
        <v>822486</v>
      </c>
      <c r="AJ57" s="2"/>
      <c r="AK57" s="2"/>
      <c r="AM57" s="2">
        <v>0</v>
      </c>
      <c r="AN57" s="2"/>
      <c r="AO57" s="2">
        <v>1344574</v>
      </c>
      <c r="AP57" s="2"/>
      <c r="AQ57" s="2">
        <v>62131</v>
      </c>
      <c r="AR57" s="2"/>
      <c r="AS57" s="2">
        <v>200463</v>
      </c>
      <c r="AT57" s="2"/>
      <c r="AU57" s="2">
        <v>0</v>
      </c>
      <c r="AV57" s="2"/>
      <c r="AW57" s="2">
        <v>0</v>
      </c>
      <c r="AX57" s="2"/>
      <c r="AY57" s="2">
        <v>43790</v>
      </c>
      <c r="AZ57" s="2"/>
      <c r="BA57" s="2">
        <v>0</v>
      </c>
      <c r="BB57" s="2"/>
      <c r="BC57" s="36">
        <f t="shared" si="1"/>
        <v>22639431</v>
      </c>
      <c r="BD57" s="13" t="s">
        <v>287</v>
      </c>
      <c r="BF57" s="19" t="s">
        <v>220</v>
      </c>
      <c r="BG57" s="2"/>
      <c r="BH57" s="2">
        <v>1429125</v>
      </c>
      <c r="BI57" s="2"/>
      <c r="BJ57" s="2">
        <v>0</v>
      </c>
      <c r="BK57" s="2"/>
      <c r="BL57" s="2"/>
      <c r="BM57" s="2"/>
      <c r="BN57" s="2">
        <v>0</v>
      </c>
      <c r="BO57" s="2"/>
      <c r="BP57" s="36">
        <f t="shared" si="3"/>
        <v>24068556</v>
      </c>
      <c r="BQ57" s="2"/>
      <c r="BR57" s="36">
        <f>GovRev!AX57-BP57</f>
        <v>-450722</v>
      </c>
      <c r="BS57" s="2"/>
      <c r="BT57" s="2">
        <v>7476581</v>
      </c>
      <c r="BU57" s="2"/>
      <c r="BV57" s="2">
        <v>0</v>
      </c>
      <c r="BW57" s="2"/>
      <c r="BX57" s="36">
        <f t="shared" si="2"/>
        <v>7025859</v>
      </c>
      <c r="BY57" s="36"/>
      <c r="BZ57" s="36">
        <f>-BX57+GovBS!AC57</f>
        <v>0</v>
      </c>
    </row>
    <row r="58" spans="1:80" s="19" customFormat="1" ht="12">
      <c r="A58" s="13" t="s">
        <v>343</v>
      </c>
      <c r="C58" s="19" t="s">
        <v>240</v>
      </c>
      <c r="E58" s="19">
        <v>51458</v>
      </c>
      <c r="G58" s="2">
        <v>172886</v>
      </c>
      <c r="H58" s="2"/>
      <c r="I58" s="2">
        <v>129935</v>
      </c>
      <c r="J58" s="2"/>
      <c r="K58" s="2">
        <v>8843171</v>
      </c>
      <c r="L58" s="2"/>
      <c r="M58" s="2">
        <v>578560</v>
      </c>
      <c r="N58" s="2"/>
      <c r="O58" s="2">
        <v>595477</v>
      </c>
      <c r="P58" s="2"/>
      <c r="Q58" s="2">
        <v>774464</v>
      </c>
      <c r="R58" s="2"/>
      <c r="S58" s="2">
        <v>78429</v>
      </c>
      <c r="T58" s="2"/>
      <c r="U58" s="2">
        <v>789708</v>
      </c>
      <c r="V58" s="2"/>
      <c r="W58" s="2">
        <v>484967</v>
      </c>
      <c r="X58" s="2"/>
      <c r="Y58" s="2">
        <v>0</v>
      </c>
      <c r="Z58" s="2"/>
      <c r="AA58" s="2">
        <v>1597952</v>
      </c>
      <c r="AB58" s="2"/>
      <c r="AC58" s="13" t="s">
        <v>343</v>
      </c>
      <c r="AE58" s="19" t="s">
        <v>240</v>
      </c>
      <c r="AG58" s="2">
        <v>67636</v>
      </c>
      <c r="AH58" s="2"/>
      <c r="AI58" s="2">
        <v>0</v>
      </c>
      <c r="AJ58" s="2"/>
      <c r="AK58" s="2"/>
      <c r="AM58" s="2">
        <v>141535</v>
      </c>
      <c r="AN58" s="2"/>
      <c r="AO58" s="2">
        <v>0</v>
      </c>
      <c r="AP58" s="2"/>
      <c r="AQ58" s="2">
        <v>8748</v>
      </c>
      <c r="AR58" s="2"/>
      <c r="AS58" s="2">
        <v>0</v>
      </c>
      <c r="AT58" s="2"/>
      <c r="AU58" s="13">
        <v>0</v>
      </c>
      <c r="AV58" s="2"/>
      <c r="AW58" s="2">
        <v>33331</v>
      </c>
      <c r="AX58" s="2"/>
      <c r="AY58" s="2">
        <v>0</v>
      </c>
      <c r="AZ58" s="2"/>
      <c r="BA58" s="2">
        <v>0</v>
      </c>
      <c r="BB58" s="2"/>
      <c r="BC58" s="36">
        <f t="shared" si="1"/>
        <v>14296799</v>
      </c>
      <c r="BD58" s="13" t="s">
        <v>343</v>
      </c>
      <c r="BF58" s="19" t="s">
        <v>240</v>
      </c>
      <c r="BG58" s="2"/>
      <c r="BH58" s="2">
        <v>1601439</v>
      </c>
      <c r="BI58" s="2"/>
      <c r="BJ58" s="13">
        <v>0</v>
      </c>
      <c r="BK58" s="2"/>
      <c r="BL58" s="2"/>
      <c r="BM58" s="2"/>
      <c r="BN58" s="2">
        <v>0</v>
      </c>
      <c r="BO58" s="2"/>
      <c r="BP58" s="36">
        <f t="shared" si="3"/>
        <v>15898238</v>
      </c>
      <c r="BQ58" s="2"/>
      <c r="BR58" s="36">
        <f>GovRev!AX58-BP58</f>
        <v>1331311</v>
      </c>
      <c r="BS58" s="2"/>
      <c r="BT58" s="2">
        <v>13691208</v>
      </c>
      <c r="BU58" s="2"/>
      <c r="BV58" s="2">
        <v>0</v>
      </c>
      <c r="BW58" s="2"/>
      <c r="BX58" s="36">
        <f t="shared" si="2"/>
        <v>15022519</v>
      </c>
      <c r="BY58" s="36"/>
      <c r="BZ58" s="36">
        <f>-BX58+GovBS!AC58</f>
        <v>0</v>
      </c>
    </row>
    <row r="59" spans="1:80" s="19" customFormat="1" ht="12">
      <c r="A59" s="13" t="s">
        <v>344</v>
      </c>
      <c r="C59" s="19" t="s">
        <v>256</v>
      </c>
      <c r="E59" s="19">
        <v>51672</v>
      </c>
      <c r="G59" s="2">
        <v>0</v>
      </c>
      <c r="H59" s="2"/>
      <c r="I59" s="2">
        <v>0</v>
      </c>
      <c r="J59" s="2"/>
      <c r="K59" s="2">
        <v>4913758</v>
      </c>
      <c r="L59" s="2"/>
      <c r="M59" s="2">
        <v>779853</v>
      </c>
      <c r="N59" s="2"/>
      <c r="O59" s="2">
        <v>465834</v>
      </c>
      <c r="P59" s="2"/>
      <c r="Q59" s="2">
        <v>238743</v>
      </c>
      <c r="R59" s="2"/>
      <c r="S59" s="2">
        <v>84757</v>
      </c>
      <c r="T59" s="2"/>
      <c r="U59" s="2">
        <v>563885</v>
      </c>
      <c r="V59" s="2"/>
      <c r="W59" s="2">
        <v>360174</v>
      </c>
      <c r="X59" s="2"/>
      <c r="Y59" s="2">
        <v>0</v>
      </c>
      <c r="Z59" s="2"/>
      <c r="AA59" s="2">
        <v>621543</v>
      </c>
      <c r="AB59" s="2"/>
      <c r="AC59" s="13" t="s">
        <v>344</v>
      </c>
      <c r="AE59" s="19" t="s">
        <v>256</v>
      </c>
      <c r="AG59" s="2">
        <v>2747</v>
      </c>
      <c r="AH59" s="2"/>
      <c r="AI59" s="2">
        <v>496897</v>
      </c>
      <c r="AJ59" s="2"/>
      <c r="AK59" s="2"/>
      <c r="AM59" s="2">
        <v>0</v>
      </c>
      <c r="AN59" s="2"/>
      <c r="AO59" s="2">
        <v>2260</v>
      </c>
      <c r="AP59" s="2"/>
      <c r="AQ59" s="2">
        <v>26410</v>
      </c>
      <c r="AR59" s="2"/>
      <c r="AS59" s="2">
        <v>6000</v>
      </c>
      <c r="AT59" s="2"/>
      <c r="AU59" s="2">
        <v>0</v>
      </c>
      <c r="AV59" s="2"/>
      <c r="AW59" s="2">
        <v>30081</v>
      </c>
      <c r="AX59" s="2"/>
      <c r="AY59" s="2">
        <v>26678</v>
      </c>
      <c r="AZ59" s="2"/>
      <c r="BA59" s="13">
        <v>0</v>
      </c>
      <c r="BB59" s="2"/>
      <c r="BC59" s="36">
        <f t="shared" si="1"/>
        <v>8619620</v>
      </c>
      <c r="BD59" s="13" t="s">
        <v>344</v>
      </c>
      <c r="BF59" s="19" t="s">
        <v>256</v>
      </c>
      <c r="BG59" s="2"/>
      <c r="BH59" s="2">
        <v>565000</v>
      </c>
      <c r="BI59" s="2"/>
      <c r="BJ59" s="2">
        <v>0</v>
      </c>
      <c r="BK59" s="2"/>
      <c r="BL59" s="2"/>
      <c r="BM59" s="2"/>
      <c r="BN59" s="2">
        <v>0</v>
      </c>
      <c r="BO59" s="2"/>
      <c r="BP59" s="36">
        <f t="shared" si="3"/>
        <v>9184620</v>
      </c>
      <c r="BQ59" s="2"/>
      <c r="BR59" s="36">
        <f>GovRev!AX59-BP59</f>
        <v>672215</v>
      </c>
      <c r="BS59" s="2"/>
      <c r="BT59" s="2">
        <v>5735122</v>
      </c>
      <c r="BU59" s="2"/>
      <c r="BV59" s="2">
        <v>0</v>
      </c>
      <c r="BW59" s="2"/>
      <c r="BX59" s="36">
        <f t="shared" si="2"/>
        <v>6407337</v>
      </c>
      <c r="BY59" s="36"/>
      <c r="BZ59" s="36">
        <f>-BX59+GovBS!AC59</f>
        <v>0</v>
      </c>
    </row>
    <row r="60" spans="1:80" s="19" customFormat="1" ht="12">
      <c r="A60" s="13" t="s">
        <v>291</v>
      </c>
      <c r="C60" s="19" t="s">
        <v>258</v>
      </c>
      <c r="E60" s="19">
        <v>51474</v>
      </c>
      <c r="G60" s="2">
        <v>1922</v>
      </c>
      <c r="H60" s="2"/>
      <c r="I60" s="2">
        <v>148623</v>
      </c>
      <c r="J60" s="2"/>
      <c r="K60" s="2">
        <v>7889194</v>
      </c>
      <c r="L60" s="2"/>
      <c r="M60" s="2">
        <v>175834</v>
      </c>
      <c r="N60" s="2"/>
      <c r="O60" s="2">
        <v>1047193</v>
      </c>
      <c r="P60" s="2"/>
      <c r="Q60" s="2">
        <v>648381</v>
      </c>
      <c r="R60" s="2"/>
      <c r="S60" s="2">
        <v>20792</v>
      </c>
      <c r="T60" s="2"/>
      <c r="U60" s="2">
        <v>1449488</v>
      </c>
      <c r="V60" s="2"/>
      <c r="W60" s="2">
        <v>527507</v>
      </c>
      <c r="X60" s="2"/>
      <c r="Y60" s="2">
        <v>59474</v>
      </c>
      <c r="Z60" s="2"/>
      <c r="AA60" s="2">
        <v>859043</v>
      </c>
      <c r="AB60" s="2"/>
      <c r="AC60" s="13" t="s">
        <v>291</v>
      </c>
      <c r="AE60" s="19" t="s">
        <v>258</v>
      </c>
      <c r="AG60" s="2">
        <v>152458</v>
      </c>
      <c r="AH60" s="2"/>
      <c r="AI60" s="2">
        <v>1531657</v>
      </c>
      <c r="AJ60" s="2"/>
      <c r="AK60" s="2"/>
      <c r="AM60" s="2">
        <v>0</v>
      </c>
      <c r="AN60" s="2"/>
      <c r="AO60" s="2">
        <v>342301</v>
      </c>
      <c r="AP60" s="2"/>
      <c r="AQ60" s="2">
        <v>65910</v>
      </c>
      <c r="AR60" s="2"/>
      <c r="AS60" s="2">
        <v>5890108</v>
      </c>
      <c r="AT60" s="2"/>
      <c r="AU60" s="2">
        <v>0</v>
      </c>
      <c r="AV60" s="2"/>
      <c r="AW60" s="2">
        <v>356589</v>
      </c>
      <c r="AX60" s="2"/>
      <c r="AY60" s="2">
        <v>103013</v>
      </c>
      <c r="AZ60" s="2"/>
      <c r="BA60" s="2">
        <v>0</v>
      </c>
      <c r="BB60" s="2"/>
      <c r="BC60" s="36">
        <f t="shared" si="1"/>
        <v>21269487</v>
      </c>
      <c r="BD60" s="13" t="s">
        <v>291</v>
      </c>
      <c r="BF60" s="19" t="s">
        <v>258</v>
      </c>
      <c r="BG60" s="2"/>
      <c r="BH60" s="2">
        <v>768021</v>
      </c>
      <c r="BI60" s="2"/>
      <c r="BJ60" s="2">
        <v>0</v>
      </c>
      <c r="BK60" s="2"/>
      <c r="BL60" s="2"/>
      <c r="BM60" s="2"/>
      <c r="BN60" s="2">
        <v>120416</v>
      </c>
      <c r="BO60" s="2"/>
      <c r="BP60" s="36">
        <f t="shared" si="3"/>
        <v>22157924</v>
      </c>
      <c r="BQ60" s="2"/>
      <c r="BR60" s="36">
        <f>GovRev!AX60-BP60</f>
        <v>3385480</v>
      </c>
      <c r="BS60" s="2"/>
      <c r="BT60" s="2">
        <f>7196316+146839+2713190+3342</f>
        <v>10059687</v>
      </c>
      <c r="BU60" s="2"/>
      <c r="BV60" s="2">
        <v>0</v>
      </c>
      <c r="BW60" s="2"/>
      <c r="BX60" s="36">
        <f t="shared" si="2"/>
        <v>13445167</v>
      </c>
      <c r="BY60" s="36"/>
      <c r="BZ60" s="36">
        <f>-BX60+GovBS!AC60</f>
        <v>0</v>
      </c>
    </row>
    <row r="61" spans="1:80" s="19" customFormat="1" ht="12">
      <c r="A61" s="13" t="s">
        <v>372</v>
      </c>
      <c r="C61" s="19" t="s">
        <v>260</v>
      </c>
      <c r="E61" s="19">
        <v>51698</v>
      </c>
      <c r="G61" s="2">
        <v>743511</v>
      </c>
      <c r="H61" s="2"/>
      <c r="I61" s="2">
        <v>2220853</v>
      </c>
      <c r="J61" s="2"/>
      <c r="K61" s="2">
        <v>254800</v>
      </c>
      <c r="L61" s="2"/>
      <c r="M61" s="2">
        <v>0</v>
      </c>
      <c r="N61" s="2"/>
      <c r="O61" s="2">
        <v>375626</v>
      </c>
      <c r="P61" s="2"/>
      <c r="Q61" s="2">
        <v>390967</v>
      </c>
      <c r="R61" s="2"/>
      <c r="S61" s="2">
        <v>19054</v>
      </c>
      <c r="T61" s="2"/>
      <c r="U61" s="2">
        <v>463096</v>
      </c>
      <c r="V61" s="2"/>
      <c r="W61" s="2">
        <v>308081</v>
      </c>
      <c r="X61" s="2"/>
      <c r="Y61" s="2">
        <v>41027</v>
      </c>
      <c r="Z61" s="2"/>
      <c r="AA61" s="2">
        <v>696963</v>
      </c>
      <c r="AB61" s="2"/>
      <c r="AC61" s="13" t="s">
        <v>292</v>
      </c>
      <c r="AE61" s="19" t="s">
        <v>260</v>
      </c>
      <c r="AG61" s="2">
        <v>7150</v>
      </c>
      <c r="AH61" s="2"/>
      <c r="AI61" s="2">
        <v>390338</v>
      </c>
      <c r="AJ61" s="2"/>
      <c r="AK61" s="2"/>
      <c r="AM61" s="2">
        <v>0</v>
      </c>
      <c r="AN61" s="2"/>
      <c r="AO61" s="2">
        <v>407578</v>
      </c>
      <c r="AP61" s="2"/>
      <c r="AQ61" s="2">
        <v>6602</v>
      </c>
      <c r="AR61" s="2"/>
      <c r="AS61" s="2">
        <v>635483</v>
      </c>
      <c r="AT61" s="2"/>
      <c r="AU61" s="2">
        <v>0</v>
      </c>
      <c r="AV61" s="2"/>
      <c r="AW61" s="2">
        <v>98065</v>
      </c>
      <c r="AX61" s="2"/>
      <c r="AY61" s="2">
        <v>69778</v>
      </c>
      <c r="AZ61" s="2"/>
      <c r="BA61" s="2">
        <v>0</v>
      </c>
      <c r="BB61" s="2"/>
      <c r="BC61" s="36">
        <f t="shared" si="1"/>
        <v>7128972</v>
      </c>
      <c r="BD61" s="13" t="s">
        <v>292</v>
      </c>
      <c r="BF61" s="19" t="s">
        <v>260</v>
      </c>
      <c r="BG61" s="2"/>
      <c r="BH61" s="2">
        <v>9164</v>
      </c>
      <c r="BI61" s="2"/>
      <c r="BJ61" s="13">
        <v>0</v>
      </c>
      <c r="BK61" s="2"/>
      <c r="BL61" s="2"/>
      <c r="BM61" s="2"/>
      <c r="BN61" s="2">
        <v>0</v>
      </c>
      <c r="BO61" s="2"/>
      <c r="BP61" s="36">
        <f t="shared" si="3"/>
        <v>7138136</v>
      </c>
      <c r="BQ61" s="2"/>
      <c r="BR61" s="36">
        <f>GovRev!AX61-BP61</f>
        <v>-511870</v>
      </c>
      <c r="BS61" s="2"/>
      <c r="BT61" s="2">
        <v>3356457</v>
      </c>
      <c r="BU61" s="2"/>
      <c r="BV61" s="2">
        <v>0</v>
      </c>
      <c r="BW61" s="2"/>
      <c r="BX61" s="36">
        <f t="shared" si="2"/>
        <v>2844587</v>
      </c>
      <c r="BY61" s="36"/>
      <c r="BZ61" s="36">
        <f>-BX61+GovBS!AC61</f>
        <v>0</v>
      </c>
    </row>
    <row r="62" spans="1:80" s="19" customFormat="1" ht="12">
      <c r="A62" s="2" t="s">
        <v>345</v>
      </c>
      <c r="C62" s="19" t="s">
        <v>262</v>
      </c>
      <c r="E62" s="19">
        <v>51714</v>
      </c>
      <c r="G62" s="2">
        <v>1813535</v>
      </c>
      <c r="H62" s="2"/>
      <c r="I62" s="2">
        <v>2266</v>
      </c>
      <c r="J62" s="2"/>
      <c r="K62" s="2">
        <v>6946528</v>
      </c>
      <c r="L62" s="2"/>
      <c r="M62" s="2">
        <v>208337</v>
      </c>
      <c r="N62" s="2"/>
      <c r="O62" s="2">
        <v>607922</v>
      </c>
      <c r="P62" s="2"/>
      <c r="Q62" s="2">
        <v>1703570</v>
      </c>
      <c r="R62" s="2"/>
      <c r="S62" s="2">
        <v>57800</v>
      </c>
      <c r="T62" s="2"/>
      <c r="U62" s="2">
        <v>1074496</v>
      </c>
      <c r="V62" s="2"/>
      <c r="W62" s="2">
        <v>467513</v>
      </c>
      <c r="X62" s="2"/>
      <c r="Y62" s="2">
        <v>0</v>
      </c>
      <c r="Z62" s="2"/>
      <c r="AA62" s="2">
        <v>939441</v>
      </c>
      <c r="AB62" s="2"/>
      <c r="AC62" s="13" t="s">
        <v>345</v>
      </c>
      <c r="AE62" s="19" t="s">
        <v>262</v>
      </c>
      <c r="AG62" s="2">
        <v>50023</v>
      </c>
      <c r="AH62" s="2"/>
      <c r="AI62" s="2">
        <v>84546</v>
      </c>
      <c r="AJ62" s="2"/>
      <c r="AK62" s="2"/>
      <c r="AM62" s="2">
        <v>209830</v>
      </c>
      <c r="AN62" s="2"/>
      <c r="AO62" s="2">
        <v>319128</v>
      </c>
      <c r="AP62" s="2"/>
      <c r="AQ62" s="2">
        <v>69</v>
      </c>
      <c r="AR62" s="2"/>
      <c r="AS62" s="2">
        <v>1617318</v>
      </c>
      <c r="AT62" s="2"/>
      <c r="AU62" s="13">
        <v>0</v>
      </c>
      <c r="AV62" s="2"/>
      <c r="AW62" s="2">
        <v>0</v>
      </c>
      <c r="AX62" s="2"/>
      <c r="AY62" s="2">
        <v>183177</v>
      </c>
      <c r="AZ62" s="2"/>
      <c r="BA62" s="13">
        <v>0</v>
      </c>
      <c r="BB62" s="2"/>
      <c r="BC62" s="36">
        <f t="shared" si="1"/>
        <v>16285499</v>
      </c>
      <c r="BD62" s="13" t="s">
        <v>345</v>
      </c>
      <c r="BF62" s="19" t="s">
        <v>262</v>
      </c>
      <c r="BG62" s="2"/>
      <c r="BH62" s="2">
        <v>2217120</v>
      </c>
      <c r="BI62" s="2"/>
      <c r="BJ62" s="2">
        <v>0</v>
      </c>
      <c r="BK62" s="2"/>
      <c r="BL62" s="2"/>
      <c r="BM62" s="2"/>
      <c r="BN62" s="2">
        <v>56498</v>
      </c>
      <c r="BO62" s="2"/>
      <c r="BP62" s="36">
        <f t="shared" si="3"/>
        <v>18559117</v>
      </c>
      <c r="BQ62" s="2"/>
      <c r="BR62" s="36">
        <f>GovRev!AX62-BP62</f>
        <v>12155819</v>
      </c>
      <c r="BS62" s="2"/>
      <c r="BT62" s="2">
        <v>6918778</v>
      </c>
      <c r="BU62" s="2"/>
      <c r="BV62" s="2">
        <v>0</v>
      </c>
      <c r="BW62" s="2"/>
      <c r="BX62" s="36">
        <f t="shared" si="2"/>
        <v>19074597</v>
      </c>
      <c r="BY62" s="36"/>
      <c r="BZ62" s="36">
        <f>-BX62+GovBS!AC62</f>
        <v>0</v>
      </c>
    </row>
    <row r="63" spans="1:80" s="19" customFormat="1" ht="12">
      <c r="A63" s="13"/>
      <c r="C63" s="13"/>
      <c r="AC63" s="60"/>
      <c r="BD63" s="60"/>
      <c r="BP63" s="36"/>
      <c r="BR63" s="36"/>
      <c r="BX63" s="36"/>
      <c r="BZ63" s="36"/>
    </row>
    <row r="64" spans="1:80" s="19" customFormat="1" ht="12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AA64" s="57" t="s">
        <v>348</v>
      </c>
      <c r="AC64" s="60"/>
      <c r="BC64" s="57" t="s">
        <v>348</v>
      </c>
      <c r="BD64" s="60"/>
      <c r="BP64" s="36"/>
      <c r="BR64" s="36"/>
      <c r="BX64" s="57" t="s">
        <v>348</v>
      </c>
      <c r="BZ64" s="36"/>
    </row>
    <row r="65" spans="1:87" s="19" customFormat="1" ht="12">
      <c r="A65" s="56" t="s">
        <v>347</v>
      </c>
      <c r="AC65" s="56" t="s">
        <v>347</v>
      </c>
      <c r="BD65" s="56" t="s">
        <v>347</v>
      </c>
      <c r="BP65" s="36"/>
      <c r="BR65" s="36"/>
      <c r="BX65" s="36"/>
      <c r="BZ65" s="36"/>
    </row>
    <row r="66" spans="1:87" s="81" customFormat="1" ht="12" hidden="1">
      <c r="A66" s="13" t="s">
        <v>415</v>
      </c>
      <c r="B66" s="13"/>
      <c r="C66" s="13" t="s">
        <v>365</v>
      </c>
      <c r="E66" s="89">
        <v>45849</v>
      </c>
      <c r="G66" s="81">
        <v>341630</v>
      </c>
      <c r="I66" s="81">
        <v>4082596</v>
      </c>
      <c r="K66" s="81">
        <v>0</v>
      </c>
      <c r="M66" s="81">
        <v>0</v>
      </c>
      <c r="O66" s="81">
        <v>1585760</v>
      </c>
      <c r="Q66" s="81">
        <v>498760</v>
      </c>
      <c r="S66" s="81">
        <v>13859</v>
      </c>
      <c r="U66" s="81">
        <v>316354</v>
      </c>
      <c r="W66" s="81">
        <v>151610</v>
      </c>
      <c r="Y66" s="81">
        <v>906</v>
      </c>
      <c r="AA66" s="81">
        <v>375</v>
      </c>
      <c r="AC66" s="81" t="s">
        <v>160</v>
      </c>
      <c r="AE66" s="81" t="s">
        <v>156</v>
      </c>
      <c r="AG66" s="81">
        <v>141358</v>
      </c>
      <c r="AI66" s="81">
        <v>7200</v>
      </c>
      <c r="AO66" s="81">
        <v>3854</v>
      </c>
      <c r="BC66" s="82">
        <f>SUM(G66:BA66)</f>
        <v>7144262</v>
      </c>
      <c r="BD66" s="81" t="s">
        <v>160</v>
      </c>
      <c r="BF66" s="81" t="s">
        <v>156</v>
      </c>
      <c r="BN66" s="81">
        <v>-7890</v>
      </c>
      <c r="BP66" s="64">
        <f t="shared" si="3"/>
        <v>7136372</v>
      </c>
      <c r="BR66" s="64">
        <f>GovRev!AX67-BP66</f>
        <v>-51016</v>
      </c>
      <c r="BT66" s="81">
        <v>0</v>
      </c>
      <c r="BV66" s="81">
        <v>721581</v>
      </c>
      <c r="BX66" s="64">
        <f t="shared" si="2"/>
        <v>670565</v>
      </c>
      <c r="BY66" s="82"/>
      <c r="BZ66" s="64">
        <f>-BX66+GovBS!AC66</f>
        <v>0</v>
      </c>
      <c r="CB66" s="60" t="s">
        <v>400</v>
      </c>
    </row>
    <row r="67" spans="1:87" s="81" customFormat="1" ht="12" hidden="1">
      <c r="A67" s="13" t="s">
        <v>416</v>
      </c>
      <c r="B67" s="13"/>
      <c r="C67" s="13" t="s">
        <v>156</v>
      </c>
      <c r="E67" s="89"/>
      <c r="G67" s="13">
        <v>702524</v>
      </c>
      <c r="H67" s="13"/>
      <c r="I67" s="13">
        <v>2121163</v>
      </c>
      <c r="J67" s="13"/>
      <c r="K67" s="13">
        <v>0</v>
      </c>
      <c r="L67" s="13"/>
      <c r="M67" s="13">
        <v>145379</v>
      </c>
      <c r="N67" s="13"/>
      <c r="O67" s="13">
        <v>1305186</v>
      </c>
      <c r="P67" s="13"/>
      <c r="Q67" s="13">
        <v>2361253</v>
      </c>
      <c r="R67" s="13"/>
      <c r="S67" s="13">
        <v>41285</v>
      </c>
      <c r="T67" s="13"/>
      <c r="U67" s="13">
        <v>922694</v>
      </c>
      <c r="V67" s="13"/>
      <c r="W67" s="13">
        <v>275942</v>
      </c>
      <c r="X67" s="13"/>
      <c r="Y67" s="13">
        <v>0</v>
      </c>
      <c r="Z67" s="13"/>
      <c r="AA67" s="13">
        <v>53552</v>
      </c>
      <c r="AB67" s="13"/>
      <c r="AC67" s="13" t="s">
        <v>367</v>
      </c>
      <c r="AD67" s="13"/>
      <c r="AE67" s="13" t="s">
        <v>156</v>
      </c>
      <c r="AG67" s="13">
        <v>9130</v>
      </c>
      <c r="AH67" s="13"/>
      <c r="AI67" s="13">
        <v>16730</v>
      </c>
      <c r="AJ67" s="13"/>
      <c r="AK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64">
        <f>SUM(G67:BA67)</f>
        <v>7954838</v>
      </c>
      <c r="BD67" s="13" t="s">
        <v>367</v>
      </c>
      <c r="BE67" s="13"/>
      <c r="BF67" s="13" t="s">
        <v>156</v>
      </c>
      <c r="BG67" s="13"/>
      <c r="BH67" s="13"/>
      <c r="BI67" s="13"/>
      <c r="BJ67" s="13"/>
      <c r="BK67" s="13"/>
      <c r="BL67" s="13"/>
      <c r="BM67" s="13"/>
      <c r="BN67" s="13">
        <v>0</v>
      </c>
      <c r="BO67" s="13"/>
      <c r="BP67" s="64">
        <f t="shared" si="3"/>
        <v>7954838</v>
      </c>
      <c r="BQ67" s="13"/>
      <c r="BR67" s="64">
        <f>GovRev!AX68-BP67</f>
        <v>-412784</v>
      </c>
      <c r="BS67" s="13"/>
      <c r="BT67" s="13">
        <v>3219820</v>
      </c>
      <c r="BU67" s="13"/>
      <c r="BV67" s="13">
        <v>0</v>
      </c>
      <c r="BW67" s="13"/>
      <c r="BX67" s="64">
        <f t="shared" si="2"/>
        <v>2807036</v>
      </c>
      <c r="BY67" s="64"/>
      <c r="BZ67" s="64">
        <f>-BX67+GovBS!AC67</f>
        <v>0</v>
      </c>
      <c r="CA67" s="60"/>
      <c r="CB67" s="60" t="s">
        <v>400</v>
      </c>
      <c r="CC67" s="60"/>
      <c r="CD67" s="60"/>
      <c r="CE67" s="60"/>
      <c r="CF67" s="60"/>
      <c r="CG67" s="60"/>
      <c r="CH67" s="60"/>
      <c r="CI67" s="60"/>
    </row>
    <row r="68" spans="1:87" s="60" customFormat="1" ht="12">
      <c r="A68" s="60" t="s">
        <v>161</v>
      </c>
      <c r="C68" s="60" t="s">
        <v>157</v>
      </c>
      <c r="E68" s="60">
        <v>135145</v>
      </c>
      <c r="G68" s="81">
        <v>1570625</v>
      </c>
      <c r="H68" s="81"/>
      <c r="I68" s="81">
        <v>2047560</v>
      </c>
      <c r="J68" s="81"/>
      <c r="K68" s="81">
        <v>28398</v>
      </c>
      <c r="L68" s="81"/>
      <c r="M68" s="81">
        <f>71280+74947</f>
        <v>146227</v>
      </c>
      <c r="N68" s="81"/>
      <c r="O68" s="81">
        <v>1098793</v>
      </c>
      <c r="P68" s="81"/>
      <c r="Q68" s="81">
        <v>912867</v>
      </c>
      <c r="R68" s="81"/>
      <c r="S68" s="81">
        <v>94131</v>
      </c>
      <c r="T68" s="81"/>
      <c r="U68" s="81">
        <v>591439</v>
      </c>
      <c r="V68" s="81"/>
      <c r="W68" s="81">
        <v>406938</v>
      </c>
      <c r="X68" s="81"/>
      <c r="Y68" s="81">
        <v>0</v>
      </c>
      <c r="Z68" s="81"/>
      <c r="AA68" s="81">
        <v>148980</v>
      </c>
      <c r="AB68" s="81"/>
      <c r="AC68" s="81" t="s">
        <v>161</v>
      </c>
      <c r="AD68" s="81"/>
      <c r="AE68" s="81" t="s">
        <v>157</v>
      </c>
      <c r="AF68" s="81"/>
      <c r="AG68" s="81">
        <v>674939</v>
      </c>
      <c r="AH68" s="81"/>
      <c r="AI68" s="81">
        <v>55258</v>
      </c>
      <c r="AJ68" s="81"/>
      <c r="AK68" s="81"/>
      <c r="AL68" s="81"/>
      <c r="AM68" s="81">
        <v>0</v>
      </c>
      <c r="AN68" s="81"/>
      <c r="AO68" s="81">
        <v>314585</v>
      </c>
      <c r="AP68" s="81"/>
      <c r="AQ68" s="81">
        <v>1500</v>
      </c>
      <c r="AR68" s="81"/>
      <c r="AS68" s="81">
        <v>58513</v>
      </c>
      <c r="AT68" s="81"/>
      <c r="AU68" s="81">
        <v>0</v>
      </c>
      <c r="AV68" s="81"/>
      <c r="AW68" s="81">
        <v>0</v>
      </c>
      <c r="AX68" s="81"/>
      <c r="AY68" s="81">
        <v>0</v>
      </c>
      <c r="AZ68" s="81"/>
      <c r="BA68" s="81">
        <v>0</v>
      </c>
      <c r="BB68" s="81"/>
      <c r="BC68" s="82">
        <f>SUM(G68:BA68)</f>
        <v>8150753</v>
      </c>
      <c r="BD68" s="81" t="s">
        <v>161</v>
      </c>
      <c r="BE68" s="81"/>
      <c r="BF68" s="81" t="s">
        <v>157</v>
      </c>
      <c r="BG68" s="81"/>
      <c r="BH68" s="81">
        <v>0</v>
      </c>
      <c r="BI68" s="81"/>
      <c r="BJ68" s="81">
        <v>0</v>
      </c>
      <c r="BK68" s="81"/>
      <c r="BL68" s="81"/>
      <c r="BM68" s="81"/>
      <c r="BN68" s="81">
        <v>0</v>
      </c>
      <c r="BO68" s="81"/>
      <c r="BP68" s="64">
        <f t="shared" si="3"/>
        <v>8150753</v>
      </c>
      <c r="BQ68" s="81"/>
      <c r="BR68" s="64">
        <f>GovRev!AX69-BP68</f>
        <v>201918</v>
      </c>
      <c r="BS68" s="81"/>
      <c r="BT68" s="81">
        <v>223854</v>
      </c>
      <c r="BU68" s="81"/>
      <c r="BV68" s="81">
        <v>0</v>
      </c>
      <c r="BW68" s="81"/>
      <c r="BX68" s="64">
        <f t="shared" si="2"/>
        <v>425772</v>
      </c>
      <c r="BY68" s="82"/>
      <c r="BZ68" s="64">
        <f>-BX68+GovBS!AC68</f>
        <v>0</v>
      </c>
      <c r="CA68" s="81"/>
      <c r="CB68" s="13"/>
      <c r="CC68" s="81"/>
      <c r="CD68" s="81"/>
      <c r="CE68" s="81"/>
      <c r="CF68" s="81"/>
      <c r="CG68" s="81"/>
      <c r="CH68" s="81"/>
    </row>
    <row r="69" spans="1:87" s="60" customFormat="1" ht="12" hidden="1">
      <c r="A69" s="13" t="s">
        <v>417</v>
      </c>
      <c r="B69" s="13"/>
      <c r="C69" s="13" t="s">
        <v>369</v>
      </c>
      <c r="G69" s="13">
        <v>1491768</v>
      </c>
      <c r="H69" s="13"/>
      <c r="I69" s="13">
        <v>2988059</v>
      </c>
      <c r="J69" s="13"/>
      <c r="K69" s="13"/>
      <c r="L69" s="13"/>
      <c r="M69" s="13"/>
      <c r="N69" s="13"/>
      <c r="O69" s="13">
        <v>1600758</v>
      </c>
      <c r="P69" s="13"/>
      <c r="Q69" s="13">
        <v>724856</v>
      </c>
      <c r="R69" s="13"/>
      <c r="S69" s="13">
        <v>19316</v>
      </c>
      <c r="T69" s="13"/>
      <c r="U69" s="13">
        <v>1865741</v>
      </c>
      <c r="V69" s="13"/>
      <c r="W69" s="13">
        <v>271496</v>
      </c>
      <c r="X69" s="13"/>
      <c r="Y69" s="13"/>
      <c r="Z69" s="13"/>
      <c r="AA69" s="13">
        <v>90565</v>
      </c>
      <c r="AB69" s="13"/>
      <c r="AC69" s="13" t="s">
        <v>368</v>
      </c>
      <c r="AD69" s="13"/>
      <c r="AE69" s="13" t="s">
        <v>369</v>
      </c>
      <c r="AF69" s="13"/>
      <c r="AG69" s="13">
        <v>52074</v>
      </c>
      <c r="AH69" s="13"/>
      <c r="AI69" s="13">
        <v>64834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>
        <v>44333</v>
      </c>
      <c r="AV69" s="13"/>
      <c r="AW69" s="13">
        <v>9600</v>
      </c>
      <c r="AX69" s="13"/>
      <c r="AY69" s="13"/>
      <c r="AZ69" s="13"/>
      <c r="BA69" s="13"/>
      <c r="BB69" s="13"/>
      <c r="BC69" s="64">
        <f>SUM(G69:BA69)</f>
        <v>9223400</v>
      </c>
      <c r="BD69" s="13" t="s">
        <v>368</v>
      </c>
      <c r="BE69" s="13"/>
      <c r="BF69" s="13" t="s">
        <v>369</v>
      </c>
      <c r="BG69" s="13"/>
      <c r="BH69" s="13"/>
      <c r="BI69" s="13"/>
      <c r="BJ69" s="13"/>
      <c r="BK69" s="13"/>
      <c r="BL69" s="13"/>
      <c r="BM69" s="13"/>
      <c r="BN69" s="13"/>
      <c r="BO69" s="13"/>
      <c r="BP69" s="64">
        <f t="shared" si="3"/>
        <v>9223400</v>
      </c>
      <c r="BQ69" s="13"/>
      <c r="BR69" s="64">
        <f>GovRev!AX70-BP69</f>
        <v>-134241</v>
      </c>
      <c r="BS69" s="13"/>
      <c r="BT69" s="13">
        <v>2467342</v>
      </c>
      <c r="BU69" s="13"/>
      <c r="BV69" s="13"/>
      <c r="BW69" s="13"/>
      <c r="BX69" s="64">
        <f t="shared" si="2"/>
        <v>2333101</v>
      </c>
      <c r="BY69" s="64"/>
      <c r="BZ69" s="64">
        <f>-BX69+GovBS!AC69</f>
        <v>0</v>
      </c>
      <c r="CB69" s="60" t="s">
        <v>400</v>
      </c>
    </row>
    <row r="70" spans="1:87" s="19" customFormat="1" ht="12">
      <c r="A70" s="19" t="s">
        <v>163</v>
      </c>
      <c r="C70" s="19" t="s">
        <v>164</v>
      </c>
      <c r="E70" s="19">
        <v>46029</v>
      </c>
      <c r="G70" s="2">
        <v>518971</v>
      </c>
      <c r="H70" s="2"/>
      <c r="I70" s="2">
        <v>1581281</v>
      </c>
      <c r="J70" s="2"/>
      <c r="K70" s="2">
        <v>0</v>
      </c>
      <c r="L70" s="2"/>
      <c r="M70" s="2">
        <v>0</v>
      </c>
      <c r="N70" s="2"/>
      <c r="O70" s="2">
        <v>1124509</v>
      </c>
      <c r="P70" s="2"/>
      <c r="Q70" s="2">
        <v>536188</v>
      </c>
      <c r="R70" s="2"/>
      <c r="S70" s="2">
        <v>27349</v>
      </c>
      <c r="T70" s="2"/>
      <c r="U70" s="2">
        <v>232848</v>
      </c>
      <c r="V70" s="2"/>
      <c r="W70" s="2">
        <v>205937</v>
      </c>
      <c r="X70" s="2"/>
      <c r="Y70" s="2">
        <v>0</v>
      </c>
      <c r="Z70" s="2"/>
      <c r="AA70" s="2">
        <v>52715</v>
      </c>
      <c r="AB70" s="2"/>
      <c r="AC70" s="19" t="s">
        <v>163</v>
      </c>
      <c r="AE70" s="19" t="s">
        <v>164</v>
      </c>
      <c r="AF70" s="2"/>
      <c r="AG70" s="2">
        <v>0</v>
      </c>
      <c r="AH70" s="2"/>
      <c r="AI70" s="2">
        <v>250248</v>
      </c>
      <c r="AJ70" s="2"/>
      <c r="AK70" s="2"/>
      <c r="AL70" s="2"/>
      <c r="AM70" s="2">
        <v>0</v>
      </c>
      <c r="AN70" s="2"/>
      <c r="AO70" s="2">
        <v>0</v>
      </c>
      <c r="AP70" s="2"/>
      <c r="AQ70" s="2">
        <v>0</v>
      </c>
      <c r="AR70" s="2"/>
      <c r="AS70" s="2">
        <v>0</v>
      </c>
      <c r="AT70" s="2"/>
      <c r="AU70" s="2">
        <v>21270</v>
      </c>
      <c r="AV70" s="2"/>
      <c r="AW70" s="2">
        <v>0</v>
      </c>
      <c r="AX70" s="2"/>
      <c r="AY70" s="2">
        <v>0</v>
      </c>
      <c r="AZ70" s="2"/>
      <c r="BA70" s="2">
        <v>0</v>
      </c>
      <c r="BB70" s="2"/>
      <c r="BC70" s="36">
        <f>SUM(G70:BA70)</f>
        <v>4551316</v>
      </c>
      <c r="BD70" s="19" t="s">
        <v>163</v>
      </c>
      <c r="BF70" s="19" t="s">
        <v>164</v>
      </c>
      <c r="BG70" s="2"/>
      <c r="BH70" s="2">
        <v>0</v>
      </c>
      <c r="BI70" s="2"/>
      <c r="BJ70" s="2">
        <v>0</v>
      </c>
      <c r="BK70" s="2"/>
      <c r="BL70" s="2"/>
      <c r="BM70" s="2"/>
      <c r="BN70" s="2">
        <v>0</v>
      </c>
      <c r="BO70" s="2"/>
      <c r="BP70" s="36">
        <f t="shared" si="3"/>
        <v>4551316</v>
      </c>
      <c r="BQ70" s="2"/>
      <c r="BR70" s="64">
        <f>GovRev!AX71-BP70</f>
        <v>-11775</v>
      </c>
      <c r="BS70" s="2"/>
      <c r="BT70" s="2">
        <v>1998549</v>
      </c>
      <c r="BU70" s="2"/>
      <c r="BV70" s="2">
        <v>0</v>
      </c>
      <c r="BW70" s="2"/>
      <c r="BX70" s="36">
        <f t="shared" si="2"/>
        <v>1986774</v>
      </c>
      <c r="BY70" s="36"/>
      <c r="BZ70" s="64">
        <f>-BX70+GovBS!AC70</f>
        <v>0</v>
      </c>
    </row>
    <row r="71" spans="1:87" s="19" customFormat="1" ht="12">
      <c r="A71" s="19" t="s">
        <v>165</v>
      </c>
      <c r="C71" s="19" t="s">
        <v>159</v>
      </c>
      <c r="E71" s="19">
        <v>46086</v>
      </c>
      <c r="G71" s="2">
        <v>535489</v>
      </c>
      <c r="H71" s="2"/>
      <c r="I71" s="2">
        <v>1657800</v>
      </c>
      <c r="J71" s="2"/>
      <c r="K71" s="2">
        <v>0</v>
      </c>
      <c r="L71" s="2"/>
      <c r="M71" s="2">
        <v>0</v>
      </c>
      <c r="N71" s="2"/>
      <c r="O71" s="2">
        <v>2487518</v>
      </c>
      <c r="P71" s="2"/>
      <c r="Q71" s="2">
        <v>2082327</v>
      </c>
      <c r="R71" s="2"/>
      <c r="S71" s="2">
        <v>11862</v>
      </c>
      <c r="T71" s="2"/>
      <c r="U71" s="2">
        <v>1459363</v>
      </c>
      <c r="V71" s="2"/>
      <c r="W71" s="2">
        <v>569306</v>
      </c>
      <c r="X71" s="2"/>
      <c r="Y71" s="2">
        <v>0</v>
      </c>
      <c r="Z71" s="2"/>
      <c r="AA71" s="2">
        <v>805582</v>
      </c>
      <c r="AB71" s="2"/>
      <c r="AC71" s="19" t="s">
        <v>165</v>
      </c>
      <c r="AE71" s="19" t="s">
        <v>159</v>
      </c>
      <c r="AF71" s="2"/>
      <c r="AG71" s="2">
        <v>190622</v>
      </c>
      <c r="AH71" s="2"/>
      <c r="AI71" s="2">
        <v>1756816</v>
      </c>
      <c r="AJ71" s="2"/>
      <c r="AK71" s="2"/>
      <c r="AL71" s="2"/>
      <c r="AM71" s="2">
        <v>0</v>
      </c>
      <c r="AN71" s="2"/>
      <c r="AO71" s="2">
        <v>0</v>
      </c>
      <c r="AP71" s="2"/>
      <c r="AQ71" s="2">
        <v>0</v>
      </c>
      <c r="AR71" s="2"/>
      <c r="AS71" s="2">
        <v>0</v>
      </c>
      <c r="AT71" s="2"/>
      <c r="AU71" s="2">
        <v>0</v>
      </c>
      <c r="AV71" s="2"/>
      <c r="AW71" s="2">
        <v>0</v>
      </c>
      <c r="AX71" s="2"/>
      <c r="AY71" s="2">
        <v>0</v>
      </c>
      <c r="AZ71" s="2"/>
      <c r="BA71" s="2">
        <v>0</v>
      </c>
      <c r="BB71" s="2"/>
      <c r="BC71" s="36">
        <f t="shared" ref="BC71:BC126" si="4">SUM(G71:BA71)</f>
        <v>11556685</v>
      </c>
      <c r="BD71" s="19" t="s">
        <v>165</v>
      </c>
      <c r="BF71" s="19" t="s">
        <v>159</v>
      </c>
      <c r="BG71" s="2"/>
      <c r="BH71" s="2">
        <v>0</v>
      </c>
      <c r="BI71" s="2"/>
      <c r="BJ71" s="2">
        <v>0</v>
      </c>
      <c r="BK71" s="2"/>
      <c r="BL71" s="2"/>
      <c r="BM71" s="2"/>
      <c r="BN71" s="2">
        <v>0</v>
      </c>
      <c r="BO71" s="2"/>
      <c r="BP71" s="36">
        <f t="shared" si="3"/>
        <v>11556685</v>
      </c>
      <c r="BQ71" s="2"/>
      <c r="BR71" s="64">
        <f>GovRev!AX72-BP71</f>
        <v>277961</v>
      </c>
      <c r="BS71" s="2"/>
      <c r="BT71" s="2">
        <v>779753</v>
      </c>
      <c r="BU71" s="2"/>
      <c r="BV71" s="2">
        <v>0</v>
      </c>
      <c r="BW71" s="2"/>
      <c r="BX71" s="36">
        <f t="shared" si="2"/>
        <v>1057714</v>
      </c>
      <c r="BY71" s="36"/>
      <c r="BZ71" s="64">
        <f>-BX71+GovBS!AC71</f>
        <v>0</v>
      </c>
    </row>
    <row r="72" spans="1:87" s="19" customFormat="1" ht="12">
      <c r="A72" s="19" t="s">
        <v>168</v>
      </c>
      <c r="C72" s="19" t="s">
        <v>169</v>
      </c>
      <c r="E72" s="19">
        <v>46227</v>
      </c>
      <c r="G72" s="2">
        <v>69228</v>
      </c>
      <c r="H72" s="2"/>
      <c r="I72" s="2">
        <v>1289638</v>
      </c>
      <c r="J72" s="2"/>
      <c r="K72" s="2">
        <v>158676</v>
      </c>
      <c r="L72" s="2"/>
      <c r="M72" s="2">
        <v>0</v>
      </c>
      <c r="N72" s="2"/>
      <c r="O72" s="2">
        <v>1382441</v>
      </c>
      <c r="P72" s="2"/>
      <c r="Q72" s="2">
        <v>2521285</v>
      </c>
      <c r="R72" s="2"/>
      <c r="S72" s="2">
        <v>31315</v>
      </c>
      <c r="T72" s="2"/>
      <c r="U72" s="2">
        <v>762554</v>
      </c>
      <c r="V72" s="2"/>
      <c r="W72" s="2">
        <v>193896</v>
      </c>
      <c r="X72" s="2"/>
      <c r="Y72" s="2">
        <v>14094</v>
      </c>
      <c r="Z72" s="2"/>
      <c r="AA72" s="2">
        <v>53643</v>
      </c>
      <c r="AB72" s="2"/>
      <c r="AC72" s="19" t="s">
        <v>168</v>
      </c>
      <c r="AE72" s="19" t="s">
        <v>169</v>
      </c>
      <c r="AF72" s="2"/>
      <c r="AG72" s="2">
        <v>1193</v>
      </c>
      <c r="AH72" s="2"/>
      <c r="AI72" s="2">
        <v>2817</v>
      </c>
      <c r="AJ72" s="2"/>
      <c r="AK72" s="2"/>
      <c r="AL72" s="2"/>
      <c r="AM72" s="2">
        <v>0</v>
      </c>
      <c r="AN72" s="2"/>
      <c r="AO72" s="2">
        <v>0</v>
      </c>
      <c r="AP72" s="2"/>
      <c r="AQ72" s="2">
        <v>64</v>
      </c>
      <c r="AR72" s="2"/>
      <c r="AS72" s="2">
        <v>0</v>
      </c>
      <c r="AT72" s="2"/>
      <c r="AU72" s="2">
        <v>0</v>
      </c>
      <c r="AV72" s="2"/>
      <c r="AW72" s="2">
        <v>72467</v>
      </c>
      <c r="AX72" s="2"/>
      <c r="AY72" s="2">
        <v>184</v>
      </c>
      <c r="AZ72" s="2"/>
      <c r="BA72" s="2">
        <v>0</v>
      </c>
      <c r="BB72" s="2"/>
      <c r="BC72" s="36">
        <f t="shared" si="4"/>
        <v>6553495</v>
      </c>
      <c r="BD72" s="19" t="s">
        <v>168</v>
      </c>
      <c r="BF72" s="19" t="s">
        <v>169</v>
      </c>
      <c r="BG72" s="2"/>
      <c r="BH72" s="2">
        <v>0</v>
      </c>
      <c r="BI72" s="2"/>
      <c r="BJ72" s="2">
        <v>0</v>
      </c>
      <c r="BK72" s="2"/>
      <c r="BL72" s="2"/>
      <c r="BM72" s="2"/>
      <c r="BN72" s="2">
        <v>0</v>
      </c>
      <c r="BO72" s="2"/>
      <c r="BP72" s="36">
        <f t="shared" si="3"/>
        <v>6553495</v>
      </c>
      <c r="BQ72" s="2"/>
      <c r="BR72" s="64">
        <f>GovRev!AX73-BP72</f>
        <v>-142</v>
      </c>
      <c r="BS72" s="2"/>
      <c r="BT72" s="2">
        <v>1158645</v>
      </c>
      <c r="BU72" s="2"/>
      <c r="BV72" s="2">
        <v>0</v>
      </c>
      <c r="BW72" s="2"/>
      <c r="BX72" s="36">
        <f t="shared" si="2"/>
        <v>1158503</v>
      </c>
      <c r="BY72" s="36"/>
      <c r="BZ72" s="64">
        <f>-BX72+GovBS!AC72</f>
        <v>0</v>
      </c>
    </row>
    <row r="73" spans="1:87" s="19" customFormat="1" ht="12">
      <c r="A73" s="19" t="s">
        <v>170</v>
      </c>
      <c r="C73" s="19" t="s">
        <v>171</v>
      </c>
      <c r="E73" s="19">
        <v>46292</v>
      </c>
      <c r="G73" s="2">
        <v>280668</v>
      </c>
      <c r="H73" s="2"/>
      <c r="I73" s="2">
        <v>6432440</v>
      </c>
      <c r="J73" s="2"/>
      <c r="K73" s="2">
        <v>115965</v>
      </c>
      <c r="L73" s="2"/>
      <c r="M73" s="2">
        <v>0</v>
      </c>
      <c r="N73" s="2"/>
      <c r="O73" s="2">
        <v>4669310</v>
      </c>
      <c r="P73" s="2"/>
      <c r="Q73" s="2">
        <v>6098330</v>
      </c>
      <c r="R73" s="2"/>
      <c r="S73" s="2">
        <v>70957</v>
      </c>
      <c r="T73" s="2"/>
      <c r="U73" s="2">
        <v>483585</v>
      </c>
      <c r="V73" s="2"/>
      <c r="W73" s="2">
        <v>271655</v>
      </c>
      <c r="X73" s="2"/>
      <c r="Y73" s="2">
        <v>0</v>
      </c>
      <c r="Z73" s="2"/>
      <c r="AA73" s="2">
        <v>0</v>
      </c>
      <c r="AB73" s="2"/>
      <c r="AC73" s="19" t="s">
        <v>170</v>
      </c>
      <c r="AE73" s="19" t="s">
        <v>171</v>
      </c>
      <c r="AF73" s="2"/>
      <c r="AG73" s="2">
        <v>0</v>
      </c>
      <c r="AH73" s="2"/>
      <c r="AI73" s="2">
        <v>27366</v>
      </c>
      <c r="AJ73" s="2"/>
      <c r="AK73" s="2"/>
      <c r="AL73" s="2"/>
      <c r="AM73" s="2">
        <v>0</v>
      </c>
      <c r="AN73" s="2"/>
      <c r="AO73" s="2">
        <v>62456</v>
      </c>
      <c r="AP73" s="2"/>
      <c r="AQ73" s="2">
        <v>0</v>
      </c>
      <c r="AR73" s="2"/>
      <c r="AS73" s="2">
        <v>51598</v>
      </c>
      <c r="AT73" s="2"/>
      <c r="AU73" s="2">
        <v>0</v>
      </c>
      <c r="AV73" s="2"/>
      <c r="AW73" s="2">
        <v>0</v>
      </c>
      <c r="AX73" s="2"/>
      <c r="AY73" s="2">
        <v>0</v>
      </c>
      <c r="AZ73" s="2"/>
      <c r="BA73" s="2">
        <v>0</v>
      </c>
      <c r="BB73" s="2"/>
      <c r="BC73" s="36">
        <f t="shared" si="4"/>
        <v>18564330</v>
      </c>
      <c r="BD73" s="19" t="s">
        <v>170</v>
      </c>
      <c r="BF73" s="19" t="s">
        <v>171</v>
      </c>
      <c r="BG73" s="2"/>
      <c r="BH73" s="2">
        <v>15000</v>
      </c>
      <c r="BI73" s="2"/>
      <c r="BJ73" s="2">
        <v>0</v>
      </c>
      <c r="BK73" s="2"/>
      <c r="BL73" s="2"/>
      <c r="BM73" s="2"/>
      <c r="BN73" s="2">
        <v>0</v>
      </c>
      <c r="BO73" s="2"/>
      <c r="BP73" s="36">
        <f t="shared" si="3"/>
        <v>18579330</v>
      </c>
      <c r="BQ73" s="2"/>
      <c r="BR73" s="64">
        <f>GovRev!AX74-BP73</f>
        <v>-302080</v>
      </c>
      <c r="BS73" s="2"/>
      <c r="BT73" s="2">
        <v>4261927</v>
      </c>
      <c r="BU73" s="2"/>
      <c r="BV73" s="2">
        <v>0</v>
      </c>
      <c r="BW73" s="2"/>
      <c r="BX73" s="36">
        <f t="shared" si="2"/>
        <v>3959847</v>
      </c>
      <c r="BY73" s="36"/>
      <c r="BZ73" s="64">
        <f>-BX73+GovBS!AC73</f>
        <v>0</v>
      </c>
    </row>
    <row r="74" spans="1:87" s="60" customFormat="1" ht="12" hidden="1">
      <c r="A74" s="80" t="s">
        <v>405</v>
      </c>
      <c r="C74" s="60" t="s">
        <v>173</v>
      </c>
      <c r="E74" s="60">
        <v>46375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60" t="s">
        <v>172</v>
      </c>
      <c r="AE74" s="60" t="s">
        <v>173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64">
        <f t="shared" si="4"/>
        <v>0</v>
      </c>
      <c r="BD74" s="60" t="s">
        <v>172</v>
      </c>
      <c r="BF74" s="60" t="s">
        <v>173</v>
      </c>
      <c r="BG74" s="13"/>
      <c r="BH74" s="13"/>
      <c r="BI74" s="13"/>
      <c r="BJ74" s="2">
        <v>0</v>
      </c>
      <c r="BK74" s="13"/>
      <c r="BL74" s="13"/>
      <c r="BM74" s="13"/>
      <c r="BN74" s="2">
        <v>0</v>
      </c>
      <c r="BO74" s="13"/>
      <c r="BP74" s="64">
        <f t="shared" si="3"/>
        <v>0</v>
      </c>
      <c r="BQ74" s="13"/>
      <c r="BR74" s="64">
        <f>GovRev!AX75-BP74</f>
        <v>0</v>
      </c>
      <c r="BS74" s="13"/>
      <c r="BT74" s="13"/>
      <c r="BU74" s="13"/>
      <c r="BV74" s="13"/>
      <c r="BW74" s="13"/>
      <c r="BX74" s="64">
        <f t="shared" si="2"/>
        <v>0</v>
      </c>
      <c r="BY74" s="64"/>
      <c r="BZ74" s="64">
        <f>-BX74+GovBS!AC74</f>
        <v>0</v>
      </c>
      <c r="CB74" s="80" t="s">
        <v>406</v>
      </c>
    </row>
    <row r="75" spans="1:87" s="19" customFormat="1" ht="12">
      <c r="A75" s="19" t="s">
        <v>174</v>
      </c>
      <c r="C75" s="19" t="s">
        <v>175</v>
      </c>
      <c r="E75" s="19">
        <v>46417</v>
      </c>
      <c r="G75" s="2">
        <v>643028</v>
      </c>
      <c r="H75" s="2"/>
      <c r="I75" s="2">
        <v>2044959</v>
      </c>
      <c r="J75" s="2"/>
      <c r="K75" s="2">
        <v>0</v>
      </c>
      <c r="L75" s="2"/>
      <c r="M75" s="2">
        <v>0</v>
      </c>
      <c r="N75" s="2"/>
      <c r="O75" s="2">
        <v>2159682</v>
      </c>
      <c r="P75" s="2"/>
      <c r="Q75" s="2">
        <v>2840285</v>
      </c>
      <c r="R75" s="2"/>
      <c r="S75" s="2">
        <v>29458</v>
      </c>
      <c r="T75" s="2"/>
      <c r="U75" s="2">
        <v>369848</v>
      </c>
      <c r="V75" s="2"/>
      <c r="W75" s="2">
        <v>195350</v>
      </c>
      <c r="X75" s="2"/>
      <c r="Y75" s="2">
        <v>0</v>
      </c>
      <c r="Z75" s="2"/>
      <c r="AA75" s="2">
        <v>157792</v>
      </c>
      <c r="AB75" s="2"/>
      <c r="AC75" s="19" t="s">
        <v>174</v>
      </c>
      <c r="AE75" s="19" t="s">
        <v>175</v>
      </c>
      <c r="AF75" s="2"/>
      <c r="AG75" s="2">
        <v>529064</v>
      </c>
      <c r="AH75" s="2"/>
      <c r="AI75" s="2">
        <v>299157</v>
      </c>
      <c r="AJ75" s="2"/>
      <c r="AK75" s="2"/>
      <c r="AL75" s="2"/>
      <c r="AM75" s="2">
        <v>0</v>
      </c>
      <c r="AN75" s="2"/>
      <c r="AO75" s="2">
        <v>98745</v>
      </c>
      <c r="AP75" s="2"/>
      <c r="AQ75" s="2">
        <v>0</v>
      </c>
      <c r="AR75" s="2"/>
      <c r="AS75" s="2">
        <v>0</v>
      </c>
      <c r="AT75" s="2"/>
      <c r="AU75" s="2">
        <v>0</v>
      </c>
      <c r="AV75" s="2"/>
      <c r="AW75" s="2">
        <v>443656</v>
      </c>
      <c r="AX75" s="2"/>
      <c r="AY75" s="2">
        <v>18852</v>
      </c>
      <c r="AZ75" s="2"/>
      <c r="BA75" s="2">
        <v>3064</v>
      </c>
      <c r="BB75" s="2"/>
      <c r="BC75" s="36">
        <f t="shared" si="4"/>
        <v>9832940</v>
      </c>
      <c r="BD75" s="19" t="s">
        <v>174</v>
      </c>
      <c r="BF75" s="19" t="s">
        <v>175</v>
      </c>
      <c r="BG75" s="2"/>
      <c r="BH75" s="2">
        <v>11957</v>
      </c>
      <c r="BI75" s="2"/>
      <c r="BJ75" s="2">
        <v>0</v>
      </c>
      <c r="BK75" s="2"/>
      <c r="BL75" s="2"/>
      <c r="BM75" s="2"/>
      <c r="BN75" s="2">
        <v>0</v>
      </c>
      <c r="BO75" s="2"/>
      <c r="BP75" s="36">
        <f t="shared" si="3"/>
        <v>9844897</v>
      </c>
      <c r="BQ75" s="2"/>
      <c r="BR75" s="64">
        <f>GovRev!AX76-BP75</f>
        <v>276865</v>
      </c>
      <c r="BS75" s="2"/>
      <c r="BT75" s="2">
        <v>121514</v>
      </c>
      <c r="BU75" s="2"/>
      <c r="BV75" s="2">
        <v>0</v>
      </c>
      <c r="BW75" s="2"/>
      <c r="BX75" s="36">
        <f t="shared" si="2"/>
        <v>398379</v>
      </c>
      <c r="BY75" s="36"/>
      <c r="BZ75" s="64">
        <f>-BX75+GovBS!AC75</f>
        <v>0</v>
      </c>
    </row>
    <row r="76" spans="1:87" s="19" customFormat="1" ht="12">
      <c r="A76" s="19" t="s">
        <v>176</v>
      </c>
      <c r="C76" s="19" t="s">
        <v>177</v>
      </c>
      <c r="E76" s="19">
        <v>46532</v>
      </c>
      <c r="G76" s="2">
        <v>1955822</v>
      </c>
      <c r="H76" s="2"/>
      <c r="I76" s="2">
        <v>25121060</v>
      </c>
      <c r="J76" s="2"/>
      <c r="K76" s="2">
        <v>303981</v>
      </c>
      <c r="L76" s="2"/>
      <c r="M76" s="2">
        <v>18433</v>
      </c>
      <c r="N76" s="2"/>
      <c r="O76" s="2">
        <v>6110125</v>
      </c>
      <c r="P76" s="2"/>
      <c r="Q76" s="2">
        <v>15609691</v>
      </c>
      <c r="R76" s="2"/>
      <c r="S76" s="2">
        <v>69355</v>
      </c>
      <c r="T76" s="2"/>
      <c r="U76" s="2">
        <v>12367769</v>
      </c>
      <c r="V76" s="2"/>
      <c r="W76" s="2">
        <v>1466398</v>
      </c>
      <c r="X76" s="2"/>
      <c r="Y76" s="2">
        <v>40386</v>
      </c>
      <c r="Z76" s="2"/>
      <c r="AA76" s="2">
        <v>1494509</v>
      </c>
      <c r="AB76" s="2"/>
      <c r="AC76" s="19" t="s">
        <v>176</v>
      </c>
      <c r="AE76" s="19" t="s">
        <v>177</v>
      </c>
      <c r="AF76" s="2"/>
      <c r="AG76" s="2">
        <v>3074</v>
      </c>
      <c r="AH76" s="2"/>
      <c r="AI76" s="2">
        <v>152914</v>
      </c>
      <c r="AJ76" s="2"/>
      <c r="AK76" s="2"/>
      <c r="AL76" s="2"/>
      <c r="AM76" s="2">
        <v>0</v>
      </c>
      <c r="AN76" s="2"/>
      <c r="AO76" s="2">
        <v>4736395</v>
      </c>
      <c r="AP76" s="2"/>
      <c r="AQ76" s="2">
        <v>52582</v>
      </c>
      <c r="AR76" s="2"/>
      <c r="AS76" s="2">
        <v>0</v>
      </c>
      <c r="AT76" s="2"/>
      <c r="AU76" s="2">
        <v>0</v>
      </c>
      <c r="AV76" s="2"/>
      <c r="AW76" s="2">
        <v>68000</v>
      </c>
      <c r="AX76" s="2"/>
      <c r="AY76" s="2">
        <v>84700</v>
      </c>
      <c r="AZ76" s="2"/>
      <c r="BA76" s="2">
        <v>0</v>
      </c>
      <c r="BB76" s="2"/>
      <c r="BC76" s="36">
        <f t="shared" si="4"/>
        <v>69655194</v>
      </c>
      <c r="BD76" s="19" t="s">
        <v>176</v>
      </c>
      <c r="BF76" s="19" t="s">
        <v>177</v>
      </c>
      <c r="BG76" s="2"/>
      <c r="BH76" s="2">
        <v>0</v>
      </c>
      <c r="BI76" s="2"/>
      <c r="BJ76" s="2">
        <v>0</v>
      </c>
      <c r="BK76" s="2"/>
      <c r="BL76" s="2"/>
      <c r="BM76" s="2"/>
      <c r="BN76" s="2">
        <v>0</v>
      </c>
      <c r="BO76" s="2"/>
      <c r="BP76" s="36">
        <f t="shared" si="3"/>
        <v>69655194</v>
      </c>
      <c r="BQ76" s="2"/>
      <c r="BR76" s="64">
        <f>GovRev!AX77-BP76</f>
        <v>-2966256</v>
      </c>
      <c r="BS76" s="2"/>
      <c r="BT76" s="2">
        <v>24178654</v>
      </c>
      <c r="BU76" s="2"/>
      <c r="BV76" s="2">
        <v>0</v>
      </c>
      <c r="BW76" s="2"/>
      <c r="BX76" s="36">
        <f t="shared" si="2"/>
        <v>21212398</v>
      </c>
      <c r="BY76" s="36"/>
      <c r="BZ76" s="64">
        <f>-BX76+GovBS!AC76</f>
        <v>0</v>
      </c>
    </row>
    <row r="77" spans="1:87" s="19" customFormat="1" ht="12" hidden="1">
      <c r="A77" s="19" t="s">
        <v>395</v>
      </c>
      <c r="C77" s="19" t="s">
        <v>179</v>
      </c>
      <c r="E77" s="19">
        <v>46615</v>
      </c>
      <c r="G77" s="2">
        <v>130531</v>
      </c>
      <c r="H77" s="2"/>
      <c r="I77" s="2">
        <v>876656</v>
      </c>
      <c r="J77" s="2"/>
      <c r="K77" s="2"/>
      <c r="L77" s="2"/>
      <c r="M77" s="2"/>
      <c r="N77" s="2"/>
      <c r="O77" s="2">
        <v>1002499</v>
      </c>
      <c r="P77" s="2"/>
      <c r="Q77" s="2">
        <v>1007828</v>
      </c>
      <c r="R77" s="2"/>
      <c r="S77" s="2">
        <v>94503</v>
      </c>
      <c r="T77" s="2"/>
      <c r="U77" s="2">
        <v>189671</v>
      </c>
      <c r="V77" s="2"/>
      <c r="W77" s="2">
        <v>95722</v>
      </c>
      <c r="X77" s="2"/>
      <c r="Y77" s="2"/>
      <c r="Z77" s="2"/>
      <c r="AA77" s="2">
        <v>28271</v>
      </c>
      <c r="AB77" s="2"/>
      <c r="AC77" s="19" t="s">
        <v>178</v>
      </c>
      <c r="AE77" s="19" t="s">
        <v>179</v>
      </c>
      <c r="AF77" s="2"/>
      <c r="AG77" s="2"/>
      <c r="AH77" s="2"/>
      <c r="AI77" s="2">
        <v>11253</v>
      </c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36">
        <f t="shared" si="4"/>
        <v>3436934</v>
      </c>
      <c r="BD77" s="19" t="s">
        <v>178</v>
      </c>
      <c r="BF77" s="19" t="s">
        <v>179</v>
      </c>
      <c r="BG77" s="2"/>
      <c r="BH77" s="2"/>
      <c r="BI77" s="2"/>
      <c r="BJ77" s="2">
        <v>0</v>
      </c>
      <c r="BK77" s="2"/>
      <c r="BL77" s="2"/>
      <c r="BM77" s="2"/>
      <c r="BN77" s="2">
        <v>0</v>
      </c>
      <c r="BO77" s="2"/>
      <c r="BP77" s="36">
        <f t="shared" si="3"/>
        <v>3436934</v>
      </c>
      <c r="BQ77" s="2"/>
      <c r="BR77" s="64">
        <f>GovRev!AX78-BP77</f>
        <v>77532</v>
      </c>
      <c r="BS77" s="2"/>
      <c r="BT77" s="2">
        <v>1203380</v>
      </c>
      <c r="BU77" s="2"/>
      <c r="BV77" s="2">
        <v>0</v>
      </c>
      <c r="BW77" s="2"/>
      <c r="BX77" s="36">
        <f t="shared" si="2"/>
        <v>1280912</v>
      </c>
      <c r="BY77" s="36"/>
      <c r="BZ77" s="64">
        <f>-BX77+GovBS!AC77</f>
        <v>0</v>
      </c>
      <c r="CB77" s="63" t="s">
        <v>373</v>
      </c>
    </row>
    <row r="78" spans="1:87" s="60" customFormat="1" ht="12" hidden="1">
      <c r="A78" s="80" t="s">
        <v>180</v>
      </c>
      <c r="C78" s="60" t="s">
        <v>181</v>
      </c>
      <c r="E78" s="60">
        <v>46730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60" t="s">
        <v>180</v>
      </c>
      <c r="AE78" s="60" t="s">
        <v>181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64">
        <f t="shared" si="4"/>
        <v>0</v>
      </c>
      <c r="BD78" s="60" t="s">
        <v>180</v>
      </c>
      <c r="BF78" s="60" t="s">
        <v>181</v>
      </c>
      <c r="BG78" s="13"/>
      <c r="BH78" s="13"/>
      <c r="BI78" s="13"/>
      <c r="BJ78" s="2">
        <v>0</v>
      </c>
      <c r="BK78" s="13"/>
      <c r="BL78" s="13"/>
      <c r="BM78" s="13"/>
      <c r="BN78" s="2">
        <v>0</v>
      </c>
      <c r="BO78" s="13"/>
      <c r="BP78" s="64">
        <f t="shared" si="3"/>
        <v>0</v>
      </c>
      <c r="BQ78" s="13"/>
      <c r="BR78" s="64">
        <f>GovRev!AX79-BP78</f>
        <v>0</v>
      </c>
      <c r="BS78" s="13"/>
      <c r="BT78" s="13"/>
      <c r="BU78" s="13"/>
      <c r="BV78" s="13"/>
      <c r="BW78" s="13"/>
      <c r="BX78" s="64">
        <f t="shared" si="2"/>
        <v>0</v>
      </c>
      <c r="BY78" s="64"/>
      <c r="BZ78" s="64">
        <f>-BX78+GovBS!AC78</f>
        <v>0</v>
      </c>
      <c r="CB78" s="80" t="s">
        <v>410</v>
      </c>
    </row>
    <row r="79" spans="1:87" s="60" customFormat="1" ht="12" hidden="1">
      <c r="A79" s="80" t="s">
        <v>412</v>
      </c>
      <c r="C79" s="60" t="s">
        <v>183</v>
      </c>
      <c r="E79" s="60">
        <v>125690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60" t="s">
        <v>182</v>
      </c>
      <c r="AE79" s="60" t="s">
        <v>183</v>
      </c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64">
        <f t="shared" si="4"/>
        <v>0</v>
      </c>
      <c r="BD79" s="60" t="s">
        <v>182</v>
      </c>
      <c r="BF79" s="60" t="s">
        <v>183</v>
      </c>
      <c r="BG79" s="13"/>
      <c r="BH79" s="13"/>
      <c r="BI79" s="13"/>
      <c r="BJ79" s="2">
        <v>0</v>
      </c>
      <c r="BK79" s="13"/>
      <c r="BL79" s="13"/>
      <c r="BM79" s="13"/>
      <c r="BN79" s="2">
        <v>0</v>
      </c>
      <c r="BO79" s="13"/>
      <c r="BP79" s="64">
        <f t="shared" si="3"/>
        <v>0</v>
      </c>
      <c r="BQ79" s="13"/>
      <c r="BR79" s="64">
        <f>GovRev!AX80-BP79</f>
        <v>0</v>
      </c>
      <c r="BS79" s="13"/>
      <c r="BT79" s="13"/>
      <c r="BU79" s="13"/>
      <c r="BV79" s="2">
        <v>0</v>
      </c>
      <c r="BW79" s="13"/>
      <c r="BX79" s="64">
        <f t="shared" ref="BX79:BX126" si="5">+BT79+BR79+BV79</f>
        <v>0</v>
      </c>
      <c r="BY79" s="64"/>
      <c r="BZ79" s="64">
        <f>-BX79+GovBS!AC79</f>
        <v>0</v>
      </c>
      <c r="CB79" s="80" t="s">
        <v>414</v>
      </c>
    </row>
    <row r="80" spans="1:87" s="19" customFormat="1" ht="12">
      <c r="A80" s="19" t="s">
        <v>184</v>
      </c>
      <c r="C80" s="19" t="s">
        <v>185</v>
      </c>
      <c r="E80" s="19">
        <v>46839</v>
      </c>
      <c r="G80" s="2">
        <v>282400</v>
      </c>
      <c r="H80" s="2"/>
      <c r="I80" s="2">
        <v>1592232</v>
      </c>
      <c r="J80" s="2"/>
      <c r="K80" s="2">
        <v>0</v>
      </c>
      <c r="L80" s="2"/>
      <c r="M80" s="2">
        <v>0</v>
      </c>
      <c r="N80" s="2"/>
      <c r="O80" s="2">
        <v>2046437</v>
      </c>
      <c r="P80" s="2"/>
      <c r="Q80" s="2">
        <v>2368936</v>
      </c>
      <c r="R80" s="2"/>
      <c r="S80" s="2">
        <v>3094</v>
      </c>
      <c r="T80" s="2"/>
      <c r="U80" s="2">
        <v>1583232</v>
      </c>
      <c r="V80" s="2"/>
      <c r="W80" s="2">
        <v>259115</v>
      </c>
      <c r="X80" s="2"/>
      <c r="Y80" s="2">
        <v>0</v>
      </c>
      <c r="Z80" s="2"/>
      <c r="AA80" s="2">
        <v>41764</v>
      </c>
      <c r="AB80" s="2"/>
      <c r="AC80" s="19" t="s">
        <v>184</v>
      </c>
      <c r="AE80" s="19" t="s">
        <v>185</v>
      </c>
      <c r="AF80" s="2"/>
      <c r="AG80" s="2">
        <v>0</v>
      </c>
      <c r="AH80" s="2"/>
      <c r="AI80" s="2">
        <v>72508</v>
      </c>
      <c r="AJ80" s="2"/>
      <c r="AK80" s="2"/>
      <c r="AL80" s="2"/>
      <c r="AM80" s="2">
        <v>0</v>
      </c>
      <c r="AN80" s="2"/>
      <c r="AO80" s="2">
        <v>0</v>
      </c>
      <c r="AP80" s="2"/>
      <c r="AQ80" s="2">
        <v>0</v>
      </c>
      <c r="AR80" s="2"/>
      <c r="AS80" s="2">
        <v>0</v>
      </c>
      <c r="AT80" s="2"/>
      <c r="AU80" s="2">
        <v>0</v>
      </c>
      <c r="AV80" s="2"/>
      <c r="AW80" s="2">
        <v>18639</v>
      </c>
      <c r="AX80" s="2"/>
      <c r="AY80" s="2">
        <v>1943</v>
      </c>
      <c r="AZ80" s="2"/>
      <c r="BA80" s="2">
        <v>0</v>
      </c>
      <c r="BB80" s="2"/>
      <c r="BC80" s="36">
        <f t="shared" si="4"/>
        <v>8270300</v>
      </c>
      <c r="BD80" s="19" t="s">
        <v>184</v>
      </c>
      <c r="BF80" s="19" t="s">
        <v>185</v>
      </c>
      <c r="BG80" s="2"/>
      <c r="BH80" s="2">
        <v>0</v>
      </c>
      <c r="BI80" s="2"/>
      <c r="BJ80" s="2">
        <v>0</v>
      </c>
      <c r="BK80" s="2"/>
      <c r="BL80" s="2"/>
      <c r="BM80" s="2"/>
      <c r="BN80" s="2">
        <v>0</v>
      </c>
      <c r="BO80" s="2"/>
      <c r="BP80" s="36">
        <f t="shared" si="3"/>
        <v>8270300</v>
      </c>
      <c r="BQ80" s="2"/>
      <c r="BR80" s="64">
        <f>GovRev!AX81-BP80</f>
        <v>-90087</v>
      </c>
      <c r="BS80" s="2"/>
      <c r="BT80" s="2">
        <v>1178870</v>
      </c>
      <c r="BU80" s="2"/>
      <c r="BV80" s="2">
        <v>0</v>
      </c>
      <c r="BW80" s="2"/>
      <c r="BX80" s="36">
        <f t="shared" si="5"/>
        <v>1088783</v>
      </c>
      <c r="BY80" s="36"/>
      <c r="BZ80" s="64">
        <f>-BX80+GovBS!AC80</f>
        <v>0</v>
      </c>
    </row>
    <row r="81" spans="1:80" s="19" customFormat="1" ht="12">
      <c r="A81" s="2" t="s">
        <v>433</v>
      </c>
      <c r="C81" s="19" t="s">
        <v>186</v>
      </c>
      <c r="E81" s="19">
        <v>46938</v>
      </c>
      <c r="G81" s="2">
        <v>495972</v>
      </c>
      <c r="H81" s="2"/>
      <c r="I81" s="2">
        <v>14576777</v>
      </c>
      <c r="J81" s="2"/>
      <c r="K81" s="2">
        <v>505627</v>
      </c>
      <c r="L81" s="2"/>
      <c r="M81" s="2">
        <v>0</v>
      </c>
      <c r="N81" s="2"/>
      <c r="O81" s="2">
        <v>2694482</v>
      </c>
      <c r="P81" s="2"/>
      <c r="Q81" s="2">
        <v>18828536</v>
      </c>
      <c r="R81" s="2"/>
      <c r="S81" s="2">
        <v>81161</v>
      </c>
      <c r="T81" s="2"/>
      <c r="U81" s="2">
        <v>11101510</v>
      </c>
      <c r="V81" s="2"/>
      <c r="W81" s="2">
        <v>2465621</v>
      </c>
      <c r="X81" s="2"/>
      <c r="Y81" s="2">
        <v>434430</v>
      </c>
      <c r="Z81" s="2"/>
      <c r="AA81" s="2">
        <v>612362</v>
      </c>
      <c r="AB81" s="2"/>
      <c r="AC81" s="2" t="s">
        <v>433</v>
      </c>
      <c r="AE81" s="19" t="s">
        <v>186</v>
      </c>
      <c r="AF81" s="2"/>
      <c r="AG81" s="2">
        <v>33469</v>
      </c>
      <c r="AH81" s="2"/>
      <c r="AI81" s="2">
        <v>1436850</v>
      </c>
      <c r="AJ81" s="2"/>
      <c r="AK81" s="2"/>
      <c r="AL81" s="2"/>
      <c r="AM81" s="2">
        <v>0</v>
      </c>
      <c r="AN81" s="2"/>
      <c r="AO81" s="2">
        <v>542</v>
      </c>
      <c r="AP81" s="2"/>
      <c r="AQ81" s="2">
        <v>28533</v>
      </c>
      <c r="AR81" s="2"/>
      <c r="AS81" s="2">
        <v>383773</v>
      </c>
      <c r="AT81" s="2"/>
      <c r="AU81" s="2">
        <v>0</v>
      </c>
      <c r="AV81" s="2"/>
      <c r="AW81" s="2">
        <v>229544</v>
      </c>
      <c r="AX81" s="2"/>
      <c r="AY81" s="2">
        <v>159533</v>
      </c>
      <c r="AZ81" s="2"/>
      <c r="BA81" s="2">
        <v>0</v>
      </c>
      <c r="BB81" s="2"/>
      <c r="BC81" s="36">
        <f t="shared" si="4"/>
        <v>54068722</v>
      </c>
      <c r="BD81" s="2" t="s">
        <v>433</v>
      </c>
      <c r="BF81" s="19" t="s">
        <v>186</v>
      </c>
      <c r="BG81" s="2"/>
      <c r="BH81" s="2">
        <v>751</v>
      </c>
      <c r="BI81" s="2"/>
      <c r="BJ81" s="2">
        <v>0</v>
      </c>
      <c r="BK81" s="2"/>
      <c r="BL81" s="2"/>
      <c r="BM81" s="2"/>
      <c r="BN81" s="2">
        <v>0</v>
      </c>
      <c r="BO81" s="2"/>
      <c r="BP81" s="36">
        <f t="shared" si="3"/>
        <v>54069473</v>
      </c>
      <c r="BQ81" s="2"/>
      <c r="BR81" s="64">
        <f>GovRev!AX82-BP81</f>
        <v>3995790</v>
      </c>
      <c r="BS81" s="2"/>
      <c r="BT81" s="2">
        <v>11137476</v>
      </c>
      <c r="BU81" s="2"/>
      <c r="BV81" s="2">
        <v>0</v>
      </c>
      <c r="BW81" s="2"/>
      <c r="BX81" s="36">
        <f t="shared" si="5"/>
        <v>15133266</v>
      </c>
      <c r="BY81" s="36"/>
      <c r="BZ81" s="64">
        <f>-BX81+GovBS!AC81</f>
        <v>0</v>
      </c>
      <c r="CB81" s="60" t="s">
        <v>409</v>
      </c>
    </row>
    <row r="82" spans="1:80" s="19" customFormat="1" ht="12">
      <c r="A82" s="19" t="s">
        <v>188</v>
      </c>
      <c r="C82" s="19" t="s">
        <v>189</v>
      </c>
      <c r="E82" s="19">
        <v>125682</v>
      </c>
      <c r="G82" s="2">
        <v>574442</v>
      </c>
      <c r="H82" s="2"/>
      <c r="I82" s="2">
        <v>115117</v>
      </c>
      <c r="J82" s="2"/>
      <c r="K82" s="2">
        <v>0</v>
      </c>
      <c r="L82" s="2"/>
      <c r="M82" s="2">
        <v>0</v>
      </c>
      <c r="N82" s="2"/>
      <c r="O82" s="2">
        <v>262193</v>
      </c>
      <c r="P82" s="2"/>
      <c r="Q82" s="2">
        <v>861257</v>
      </c>
      <c r="R82" s="2"/>
      <c r="S82" s="2">
        <v>35633</v>
      </c>
      <c r="T82" s="2"/>
      <c r="U82" s="2">
        <v>485992</v>
      </c>
      <c r="V82" s="2"/>
      <c r="W82" s="2">
        <v>67286</v>
      </c>
      <c r="X82" s="2"/>
      <c r="Y82" s="2">
        <v>0</v>
      </c>
      <c r="Z82" s="2"/>
      <c r="AA82" s="2">
        <v>16700</v>
      </c>
      <c r="AB82" s="2"/>
      <c r="AC82" s="19" t="s">
        <v>188</v>
      </c>
      <c r="AE82" s="19" t="s">
        <v>189</v>
      </c>
      <c r="AF82" s="2"/>
      <c r="AG82" s="2">
        <v>163905</v>
      </c>
      <c r="AH82" s="2"/>
      <c r="AI82" s="2">
        <v>18879</v>
      </c>
      <c r="AJ82" s="2"/>
      <c r="AK82" s="2"/>
      <c r="AL82" s="2"/>
      <c r="AM82" s="2">
        <v>0</v>
      </c>
      <c r="AN82" s="2"/>
      <c r="AO82" s="2">
        <v>16359</v>
      </c>
      <c r="AP82" s="2"/>
      <c r="AQ82" s="2">
        <v>0</v>
      </c>
      <c r="AR82" s="2"/>
      <c r="AS82" s="2">
        <v>0</v>
      </c>
      <c r="AT82" s="2"/>
      <c r="AU82" s="2">
        <v>0</v>
      </c>
      <c r="AV82" s="2"/>
      <c r="AW82" s="2">
        <v>0</v>
      </c>
      <c r="AX82" s="2"/>
      <c r="AY82" s="2">
        <v>0</v>
      </c>
      <c r="AZ82" s="2"/>
      <c r="BA82" s="2">
        <v>0</v>
      </c>
      <c r="BB82" s="2"/>
      <c r="BC82" s="36">
        <f t="shared" si="4"/>
        <v>2617763</v>
      </c>
      <c r="BD82" s="19" t="s">
        <v>188</v>
      </c>
      <c r="BF82" s="19" t="s">
        <v>189</v>
      </c>
      <c r="BG82" s="2"/>
      <c r="BH82" s="2">
        <v>0</v>
      </c>
      <c r="BI82" s="2"/>
      <c r="BJ82" s="2">
        <v>0</v>
      </c>
      <c r="BK82" s="2"/>
      <c r="BL82" s="2"/>
      <c r="BM82" s="2"/>
      <c r="BN82" s="2">
        <v>0</v>
      </c>
      <c r="BO82" s="2"/>
      <c r="BP82" s="36">
        <f t="shared" si="3"/>
        <v>2617763</v>
      </c>
      <c r="BQ82" s="2"/>
      <c r="BR82" s="64">
        <f>GovRev!AX83-BP82</f>
        <v>48685</v>
      </c>
      <c r="BS82" s="2"/>
      <c r="BT82" s="2">
        <v>809409</v>
      </c>
      <c r="BU82" s="2"/>
      <c r="BV82" s="13">
        <v>0</v>
      </c>
      <c r="BW82" s="2"/>
      <c r="BX82" s="36">
        <f t="shared" si="5"/>
        <v>858094</v>
      </c>
      <c r="BY82" s="36"/>
      <c r="BZ82" s="64">
        <f>-BX82+GovBS!AC82</f>
        <v>0</v>
      </c>
    </row>
    <row r="83" spans="1:80" s="19" customFormat="1" ht="12" hidden="1">
      <c r="A83" s="72" t="s">
        <v>393</v>
      </c>
      <c r="C83" s="19" t="s">
        <v>191</v>
      </c>
      <c r="E83" s="19">
        <v>47159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19" t="s">
        <v>190</v>
      </c>
      <c r="AE83" s="19" t="s">
        <v>191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>
        <v>0</v>
      </c>
      <c r="BB83" s="2"/>
      <c r="BC83" s="36">
        <f t="shared" si="4"/>
        <v>0</v>
      </c>
      <c r="BD83" s="19" t="s">
        <v>190</v>
      </c>
      <c r="BF83" s="19" t="s">
        <v>191</v>
      </c>
      <c r="BG83" s="2"/>
      <c r="BH83" s="2"/>
      <c r="BI83" s="2"/>
      <c r="BJ83" s="2">
        <v>0</v>
      </c>
      <c r="BK83" s="2"/>
      <c r="BL83" s="2"/>
      <c r="BM83" s="2"/>
      <c r="BN83" s="2">
        <v>0</v>
      </c>
      <c r="BO83" s="2"/>
      <c r="BP83" s="36">
        <f t="shared" si="3"/>
        <v>0</v>
      </c>
      <c r="BQ83" s="2"/>
      <c r="BR83" s="64">
        <f>GovRev!AX84-BP83</f>
        <v>0</v>
      </c>
      <c r="BS83" s="2"/>
      <c r="BT83" s="2"/>
      <c r="BU83" s="2"/>
      <c r="BV83" s="2">
        <v>0</v>
      </c>
      <c r="BW83" s="2"/>
      <c r="BX83" s="36">
        <f t="shared" si="5"/>
        <v>0</v>
      </c>
      <c r="BY83" s="36"/>
      <c r="BZ83" s="64">
        <f>-BX83+GovBS!AC83</f>
        <v>0</v>
      </c>
      <c r="CB83" s="72" t="s">
        <v>394</v>
      </c>
    </row>
    <row r="84" spans="1:80" s="19" customFormat="1" ht="12">
      <c r="A84" s="19" t="s">
        <v>192</v>
      </c>
      <c r="C84" s="19" t="s">
        <v>193</v>
      </c>
      <c r="E84" s="19">
        <v>47233</v>
      </c>
      <c r="G84" s="2">
        <v>2345169</v>
      </c>
      <c r="H84" s="2"/>
      <c r="I84" s="2">
        <v>4145203</v>
      </c>
      <c r="J84" s="2"/>
      <c r="K84" s="2">
        <v>0</v>
      </c>
      <c r="L84" s="2"/>
      <c r="M84" s="2">
        <v>0</v>
      </c>
      <c r="N84" s="2"/>
      <c r="O84" s="2">
        <v>3457805</v>
      </c>
      <c r="P84" s="2"/>
      <c r="Q84" s="2">
        <v>2170388</v>
      </c>
      <c r="R84" s="2"/>
      <c r="S84" s="2">
        <v>20499</v>
      </c>
      <c r="T84" s="2"/>
      <c r="U84" s="2">
        <v>293121</v>
      </c>
      <c r="V84" s="2"/>
      <c r="W84" s="2">
        <v>267587</v>
      </c>
      <c r="X84" s="2"/>
      <c r="Y84" s="2">
        <v>39214</v>
      </c>
      <c r="Z84" s="2"/>
      <c r="AA84" s="2">
        <v>193748</v>
      </c>
      <c r="AB84" s="2"/>
      <c r="AC84" s="19" t="s">
        <v>192</v>
      </c>
      <c r="AE84" s="19" t="s">
        <v>193</v>
      </c>
      <c r="AF84" s="2"/>
      <c r="AG84" s="2">
        <v>0</v>
      </c>
      <c r="AH84" s="2"/>
      <c r="AI84" s="2">
        <v>7364</v>
      </c>
      <c r="AJ84" s="2"/>
      <c r="AK84" s="2"/>
      <c r="AL84" s="2"/>
      <c r="AM84" s="2">
        <v>0</v>
      </c>
      <c r="AN84" s="2"/>
      <c r="AO84" s="2">
        <v>7228</v>
      </c>
      <c r="AP84" s="2"/>
      <c r="AQ84" s="2">
        <v>0</v>
      </c>
      <c r="AR84" s="2"/>
      <c r="AS84" s="2">
        <v>0</v>
      </c>
      <c r="AT84" s="2"/>
      <c r="AU84" s="2">
        <v>29024</v>
      </c>
      <c r="AV84" s="2"/>
      <c r="AW84" s="2">
        <v>53131</v>
      </c>
      <c r="AX84" s="2"/>
      <c r="AY84" s="2">
        <v>10596</v>
      </c>
      <c r="AZ84" s="2"/>
      <c r="BA84" s="2">
        <v>0</v>
      </c>
      <c r="BB84" s="2"/>
      <c r="BC84" s="36">
        <f t="shared" si="4"/>
        <v>13040077</v>
      </c>
      <c r="BD84" s="19" t="s">
        <v>192</v>
      </c>
      <c r="BF84" s="19" t="s">
        <v>193</v>
      </c>
      <c r="BG84" s="2"/>
      <c r="BH84" s="2">
        <v>0</v>
      </c>
      <c r="BI84" s="2"/>
      <c r="BJ84" s="2">
        <v>0</v>
      </c>
      <c r="BK84" s="2"/>
      <c r="BL84" s="2"/>
      <c r="BM84" s="2"/>
      <c r="BN84" s="2">
        <v>0</v>
      </c>
      <c r="BO84" s="2"/>
      <c r="BP84" s="36">
        <f t="shared" si="3"/>
        <v>13040077</v>
      </c>
      <c r="BQ84" s="2"/>
      <c r="BR84" s="64">
        <f>GovRev!AX85-BP84</f>
        <v>312115</v>
      </c>
      <c r="BS84" s="2"/>
      <c r="BT84" s="2">
        <v>1401255</v>
      </c>
      <c r="BU84" s="2"/>
      <c r="BV84" s="2">
        <v>0</v>
      </c>
      <c r="BW84" s="2"/>
      <c r="BX84" s="36">
        <f t="shared" si="5"/>
        <v>1713370</v>
      </c>
      <c r="BY84" s="36"/>
      <c r="BZ84" s="64">
        <f>-BX84+GovBS!AC84</f>
        <v>0</v>
      </c>
    </row>
    <row r="85" spans="1:80" s="19" customFormat="1" ht="12">
      <c r="A85" s="19" t="s">
        <v>194</v>
      </c>
      <c r="C85" s="19" t="s">
        <v>195</v>
      </c>
      <c r="E85" s="19">
        <v>47324</v>
      </c>
      <c r="G85" s="2">
        <v>7931655</v>
      </c>
      <c r="H85" s="2"/>
      <c r="I85" s="2">
        <v>0</v>
      </c>
      <c r="J85" s="2"/>
      <c r="K85" s="2">
        <v>140457</v>
      </c>
      <c r="L85" s="2"/>
      <c r="M85" s="2">
        <v>0</v>
      </c>
      <c r="N85" s="2"/>
      <c r="O85" s="2">
        <v>7533782</v>
      </c>
      <c r="P85" s="2"/>
      <c r="Q85" s="2">
        <v>8202879</v>
      </c>
      <c r="R85" s="2"/>
      <c r="S85" s="2">
        <v>30813</v>
      </c>
      <c r="T85" s="2"/>
      <c r="U85" s="2">
        <v>2850002</v>
      </c>
      <c r="V85" s="2"/>
      <c r="W85" s="2">
        <v>1102977</v>
      </c>
      <c r="X85" s="2"/>
      <c r="Y85" s="2">
        <v>415246</v>
      </c>
      <c r="Z85" s="2"/>
      <c r="AA85" s="2">
        <v>549570</v>
      </c>
      <c r="AB85" s="2"/>
      <c r="AC85" s="19" t="s">
        <v>194</v>
      </c>
      <c r="AE85" s="19" t="s">
        <v>195</v>
      </c>
      <c r="AF85" s="2"/>
      <c r="AG85" s="2">
        <v>0</v>
      </c>
      <c r="AH85" s="2"/>
      <c r="AI85" s="2">
        <v>1161275</v>
      </c>
      <c r="AJ85" s="2"/>
      <c r="AK85" s="2"/>
      <c r="AL85" s="2"/>
      <c r="AM85" s="2">
        <v>0</v>
      </c>
      <c r="AN85" s="2"/>
      <c r="AO85" s="2">
        <v>16622422</v>
      </c>
      <c r="AP85" s="2"/>
      <c r="AQ85" s="2">
        <v>0</v>
      </c>
      <c r="AR85" s="2"/>
      <c r="AS85" s="2">
        <v>3437</v>
      </c>
      <c r="AT85" s="2"/>
      <c r="AU85" s="2">
        <v>0</v>
      </c>
      <c r="AV85" s="2"/>
      <c r="AW85" s="2">
        <v>39000</v>
      </c>
      <c r="AX85" s="2"/>
      <c r="AY85" s="2">
        <v>104859</v>
      </c>
      <c r="AZ85" s="2"/>
      <c r="BA85" s="2">
        <v>0</v>
      </c>
      <c r="BB85" s="2"/>
      <c r="BC85" s="36">
        <f t="shared" si="4"/>
        <v>46688374</v>
      </c>
      <c r="BD85" s="19" t="s">
        <v>194</v>
      </c>
      <c r="BF85" s="19" t="s">
        <v>195</v>
      </c>
      <c r="BG85" s="2"/>
      <c r="BH85" s="2">
        <v>500000</v>
      </c>
      <c r="BI85" s="2"/>
      <c r="BJ85" s="2">
        <v>0</v>
      </c>
      <c r="BK85" s="2"/>
      <c r="BL85" s="2"/>
      <c r="BM85" s="2"/>
      <c r="BN85" s="2">
        <v>0</v>
      </c>
      <c r="BO85" s="2"/>
      <c r="BP85" s="36">
        <f t="shared" si="3"/>
        <v>47188374</v>
      </c>
      <c r="BQ85" s="2"/>
      <c r="BR85" s="64">
        <f>GovRev!AX86-BP85</f>
        <v>-54850</v>
      </c>
      <c r="BS85" s="2"/>
      <c r="BT85" s="2">
        <v>7415192</v>
      </c>
      <c r="BU85" s="2"/>
      <c r="BV85" s="2">
        <v>0</v>
      </c>
      <c r="BW85" s="2"/>
      <c r="BX85" s="36">
        <f t="shared" si="5"/>
        <v>7360342</v>
      </c>
      <c r="BY85" s="36"/>
      <c r="BZ85" s="64">
        <f>-BX85+GovBS!AC85</f>
        <v>0</v>
      </c>
    </row>
    <row r="86" spans="1:80" s="19" customFormat="1" ht="12">
      <c r="A86" s="19" t="s">
        <v>196</v>
      </c>
      <c r="C86" s="19" t="s">
        <v>197</v>
      </c>
      <c r="E86" s="19">
        <v>47407</v>
      </c>
      <c r="G86" s="2">
        <v>116691</v>
      </c>
      <c r="H86" s="2"/>
      <c r="I86" s="2">
        <v>1348698</v>
      </c>
      <c r="J86" s="2"/>
      <c r="K86" s="2">
        <v>0</v>
      </c>
      <c r="L86" s="2"/>
      <c r="M86" s="2">
        <v>0</v>
      </c>
      <c r="N86" s="2"/>
      <c r="O86" s="2">
        <v>1025484</v>
      </c>
      <c r="P86" s="2"/>
      <c r="Q86" s="2">
        <v>1937782</v>
      </c>
      <c r="R86" s="2"/>
      <c r="S86" s="2">
        <v>35418</v>
      </c>
      <c r="T86" s="2"/>
      <c r="U86" s="2">
        <v>440255</v>
      </c>
      <c r="V86" s="2"/>
      <c r="W86" s="2">
        <v>224195</v>
      </c>
      <c r="X86" s="2"/>
      <c r="Y86" s="2">
        <v>0</v>
      </c>
      <c r="Z86" s="2"/>
      <c r="AA86" s="2">
        <v>69763</v>
      </c>
      <c r="AB86" s="2"/>
      <c r="AC86" s="19" t="s">
        <v>196</v>
      </c>
      <c r="AE86" s="19" t="s">
        <v>197</v>
      </c>
      <c r="AF86" s="2"/>
      <c r="AG86" s="2">
        <v>81813</v>
      </c>
      <c r="AH86" s="2"/>
      <c r="AI86" s="2">
        <v>15023</v>
      </c>
      <c r="AJ86" s="2"/>
      <c r="AK86" s="2"/>
      <c r="AL86" s="2"/>
      <c r="AM86" s="2">
        <v>0</v>
      </c>
      <c r="AN86" s="2"/>
      <c r="AO86" s="2">
        <v>3151</v>
      </c>
      <c r="AP86" s="2"/>
      <c r="AQ86" s="2">
        <v>0</v>
      </c>
      <c r="AR86" s="2"/>
      <c r="AS86" s="2">
        <v>0</v>
      </c>
      <c r="AT86" s="2"/>
      <c r="AU86" s="2">
        <v>0</v>
      </c>
      <c r="AV86" s="2"/>
      <c r="AW86" s="2">
        <v>0</v>
      </c>
      <c r="AX86" s="2"/>
      <c r="AY86" s="2">
        <v>0</v>
      </c>
      <c r="AZ86" s="2"/>
      <c r="BA86" s="2">
        <v>0</v>
      </c>
      <c r="BB86" s="2"/>
      <c r="BC86" s="36">
        <f t="shared" si="4"/>
        <v>5298273</v>
      </c>
      <c r="BD86" s="19" t="s">
        <v>196</v>
      </c>
      <c r="BF86" s="19" t="s">
        <v>197</v>
      </c>
      <c r="BG86" s="2"/>
      <c r="BH86" s="2">
        <v>0</v>
      </c>
      <c r="BI86" s="2"/>
      <c r="BJ86" s="2">
        <v>0</v>
      </c>
      <c r="BK86" s="2"/>
      <c r="BL86" s="2"/>
      <c r="BM86" s="2"/>
      <c r="BN86" s="2">
        <v>0</v>
      </c>
      <c r="BO86" s="2"/>
      <c r="BP86" s="36">
        <f t="shared" si="3"/>
        <v>5298273</v>
      </c>
      <c r="BQ86" s="2"/>
      <c r="BR86" s="64">
        <f>GovRev!AX87-BP86</f>
        <v>45627</v>
      </c>
      <c r="BS86" s="2"/>
      <c r="BT86" s="2">
        <v>518492</v>
      </c>
      <c r="BU86" s="2"/>
      <c r="BV86" s="13">
        <v>0</v>
      </c>
      <c r="BW86" s="2"/>
      <c r="BX86" s="36">
        <f t="shared" si="5"/>
        <v>564119</v>
      </c>
      <c r="BY86" s="36"/>
      <c r="BZ86" s="64">
        <f>-BX86+GovBS!AC86</f>
        <v>0</v>
      </c>
    </row>
    <row r="87" spans="1:80" s="19" customFormat="1" ht="12">
      <c r="A87" s="19" t="s">
        <v>198</v>
      </c>
      <c r="C87" s="19" t="s">
        <v>23</v>
      </c>
      <c r="E87" s="19">
        <v>47480</v>
      </c>
      <c r="G87" s="2">
        <v>250724</v>
      </c>
      <c r="H87" s="2"/>
      <c r="I87" s="2">
        <v>284975</v>
      </c>
      <c r="J87" s="2"/>
      <c r="K87" s="2">
        <v>0</v>
      </c>
      <c r="L87" s="2"/>
      <c r="M87" s="2">
        <v>0</v>
      </c>
      <c r="N87" s="2"/>
      <c r="O87" s="2">
        <v>736757</v>
      </c>
      <c r="P87" s="2"/>
      <c r="Q87" s="2">
        <v>176076</v>
      </c>
      <c r="R87" s="2"/>
      <c r="S87" s="2">
        <v>19507</v>
      </c>
      <c r="T87" s="2"/>
      <c r="U87" s="2">
        <v>242145</v>
      </c>
      <c r="V87" s="2"/>
      <c r="W87" s="2">
        <v>172771</v>
      </c>
      <c r="X87" s="2"/>
      <c r="Y87" s="2">
        <v>0</v>
      </c>
      <c r="Z87" s="2"/>
      <c r="AA87" s="2">
        <v>13192</v>
      </c>
      <c r="AB87" s="2"/>
      <c r="AC87" s="19" t="s">
        <v>198</v>
      </c>
      <c r="AE87" s="19" t="s">
        <v>23</v>
      </c>
      <c r="AF87" s="2"/>
      <c r="AG87" s="2">
        <v>0</v>
      </c>
      <c r="AH87" s="2"/>
      <c r="AI87" s="2">
        <v>87836</v>
      </c>
      <c r="AJ87" s="2"/>
      <c r="AK87" s="2"/>
      <c r="AL87" s="2"/>
      <c r="AM87" s="2">
        <v>0</v>
      </c>
      <c r="AN87" s="2"/>
      <c r="AO87" s="2">
        <v>0</v>
      </c>
      <c r="AP87" s="2"/>
      <c r="AQ87" s="2">
        <v>2134</v>
      </c>
      <c r="AR87" s="2"/>
      <c r="AS87" s="2">
        <v>0</v>
      </c>
      <c r="AT87" s="2"/>
      <c r="AU87" s="2">
        <v>534935</v>
      </c>
      <c r="AV87" s="2"/>
      <c r="AW87" s="2">
        <v>0</v>
      </c>
      <c r="AX87" s="2"/>
      <c r="AY87" s="2">
        <v>0</v>
      </c>
      <c r="AZ87" s="2"/>
      <c r="BA87" s="2">
        <v>0</v>
      </c>
      <c r="BB87" s="2"/>
      <c r="BC87" s="36">
        <f t="shared" si="4"/>
        <v>2521052</v>
      </c>
      <c r="BD87" s="19" t="s">
        <v>198</v>
      </c>
      <c r="BF87" s="19" t="s">
        <v>23</v>
      </c>
      <c r="BG87" s="2"/>
      <c r="BH87" s="2">
        <v>0</v>
      </c>
      <c r="BI87" s="2"/>
      <c r="BJ87" s="2">
        <v>0</v>
      </c>
      <c r="BK87" s="2"/>
      <c r="BL87" s="2"/>
      <c r="BM87" s="2"/>
      <c r="BN87" s="2">
        <v>0</v>
      </c>
      <c r="BO87" s="2"/>
      <c r="BP87" s="36">
        <f t="shared" si="3"/>
        <v>2521052</v>
      </c>
      <c r="BQ87" s="2"/>
      <c r="BR87" s="64">
        <f>GovRev!AX88-BP87</f>
        <v>98551</v>
      </c>
      <c r="BS87" s="2"/>
      <c r="BT87" s="2">
        <v>1098116</v>
      </c>
      <c r="BU87" s="2"/>
      <c r="BV87" s="2">
        <v>0</v>
      </c>
      <c r="BW87" s="2"/>
      <c r="BX87" s="36">
        <f t="shared" si="5"/>
        <v>1196667</v>
      </c>
      <c r="BY87" s="36"/>
      <c r="BZ87" s="64">
        <f>-BX87+GovBS!AC87</f>
        <v>0</v>
      </c>
    </row>
    <row r="88" spans="1:80" s="19" customFormat="1" ht="12">
      <c r="A88" s="19" t="s">
        <v>199</v>
      </c>
      <c r="C88" s="19" t="s">
        <v>200</v>
      </c>
      <c r="E88" s="19">
        <v>47779</v>
      </c>
      <c r="G88" s="2">
        <v>480786</v>
      </c>
      <c r="H88" s="2"/>
      <c r="I88" s="2">
        <v>435030</v>
      </c>
      <c r="J88" s="2"/>
      <c r="K88" s="2">
        <v>0</v>
      </c>
      <c r="L88" s="2"/>
      <c r="M88" s="2">
        <v>6200</v>
      </c>
      <c r="N88" s="2"/>
      <c r="O88" s="2">
        <v>1388876</v>
      </c>
      <c r="P88" s="2"/>
      <c r="Q88" s="2">
        <v>2814768</v>
      </c>
      <c r="R88" s="2"/>
      <c r="S88" s="2">
        <v>19360</v>
      </c>
      <c r="T88" s="2"/>
      <c r="U88" s="2">
        <v>899760</v>
      </c>
      <c r="V88" s="2"/>
      <c r="W88" s="2">
        <v>255184</v>
      </c>
      <c r="X88" s="2"/>
      <c r="Y88" s="2">
        <v>0</v>
      </c>
      <c r="Z88" s="2"/>
      <c r="AA88" s="2">
        <v>18795</v>
      </c>
      <c r="AB88" s="2"/>
      <c r="AC88" s="19" t="s">
        <v>199</v>
      </c>
      <c r="AE88" s="19" t="s">
        <v>200</v>
      </c>
      <c r="AF88" s="2"/>
      <c r="AG88" s="2">
        <v>0</v>
      </c>
      <c r="AH88" s="2"/>
      <c r="AI88" s="2">
        <v>0</v>
      </c>
      <c r="AJ88" s="2"/>
      <c r="AK88" s="2"/>
      <c r="AL88" s="2"/>
      <c r="AM88" s="2">
        <v>0</v>
      </c>
      <c r="AN88" s="2"/>
      <c r="AO88" s="2">
        <v>2916</v>
      </c>
      <c r="AP88" s="2"/>
      <c r="AQ88" s="2">
        <v>0</v>
      </c>
      <c r="AR88" s="2"/>
      <c r="AS88" s="2">
        <v>0</v>
      </c>
      <c r="AT88" s="2"/>
      <c r="AU88" s="2">
        <v>0</v>
      </c>
      <c r="AV88" s="2"/>
      <c r="AW88" s="2">
        <v>4124</v>
      </c>
      <c r="AX88" s="2"/>
      <c r="AY88" s="2">
        <v>238</v>
      </c>
      <c r="AZ88" s="2"/>
      <c r="BA88" s="2">
        <v>0</v>
      </c>
      <c r="BB88" s="2"/>
      <c r="BC88" s="36">
        <f t="shared" si="4"/>
        <v>6326037</v>
      </c>
      <c r="BD88" s="19" t="s">
        <v>199</v>
      </c>
      <c r="BF88" s="19" t="s">
        <v>200</v>
      </c>
      <c r="BG88" s="2"/>
      <c r="BH88" s="2">
        <v>0</v>
      </c>
      <c r="BI88" s="2"/>
      <c r="BJ88" s="2">
        <v>0</v>
      </c>
      <c r="BK88" s="2"/>
      <c r="BL88" s="2"/>
      <c r="BM88" s="2"/>
      <c r="BN88" s="2">
        <v>0</v>
      </c>
      <c r="BO88" s="2"/>
      <c r="BP88" s="36">
        <f t="shared" si="3"/>
        <v>6326037</v>
      </c>
      <c r="BQ88" s="2"/>
      <c r="BR88" s="64">
        <f>GovRev!AX89-BP88</f>
        <v>894540</v>
      </c>
      <c r="BS88" s="2"/>
      <c r="BT88" s="2">
        <v>1936218</v>
      </c>
      <c r="BU88" s="2"/>
      <c r="BV88" s="2">
        <v>0</v>
      </c>
      <c r="BW88" s="2"/>
      <c r="BX88" s="36">
        <f t="shared" si="5"/>
        <v>2830758</v>
      </c>
      <c r="BY88" s="36"/>
      <c r="BZ88" s="64">
        <f>-BX88+GovBS!AC88</f>
        <v>0</v>
      </c>
    </row>
    <row r="89" spans="1:80" s="19" customFormat="1" ht="12">
      <c r="A89" s="19" t="s">
        <v>201</v>
      </c>
      <c r="C89" s="19" t="s">
        <v>202</v>
      </c>
      <c r="E89" s="19">
        <v>47811</v>
      </c>
      <c r="G89" s="2">
        <v>88189</v>
      </c>
      <c r="H89" s="2"/>
      <c r="I89" s="2">
        <v>4140948</v>
      </c>
      <c r="J89" s="2"/>
      <c r="K89" s="2">
        <v>0</v>
      </c>
      <c r="L89" s="2"/>
      <c r="M89" s="2">
        <v>0</v>
      </c>
      <c r="N89" s="2"/>
      <c r="O89" s="2">
        <v>587062</v>
      </c>
      <c r="P89" s="2"/>
      <c r="Q89" s="2">
        <v>999384</v>
      </c>
      <c r="R89" s="2"/>
      <c r="S89" s="2">
        <v>28032</v>
      </c>
      <c r="T89" s="2"/>
      <c r="U89" s="2">
        <v>354130</v>
      </c>
      <c r="V89" s="2"/>
      <c r="W89" s="2">
        <v>89112</v>
      </c>
      <c r="X89" s="2"/>
      <c r="Y89" s="2">
        <v>0</v>
      </c>
      <c r="Z89" s="2"/>
      <c r="AA89" s="2">
        <v>51248</v>
      </c>
      <c r="AB89" s="2"/>
      <c r="AC89" s="19" t="s">
        <v>201</v>
      </c>
      <c r="AE89" s="19" t="s">
        <v>202</v>
      </c>
      <c r="AF89" s="2"/>
      <c r="AG89" s="2">
        <v>0</v>
      </c>
      <c r="AH89" s="2"/>
      <c r="AI89" s="2">
        <v>4008</v>
      </c>
      <c r="AJ89" s="2"/>
      <c r="AK89" s="2"/>
      <c r="AL89" s="2"/>
      <c r="AM89" s="2">
        <v>0</v>
      </c>
      <c r="AN89" s="2"/>
      <c r="AO89" s="2">
        <v>0</v>
      </c>
      <c r="AP89" s="2"/>
      <c r="AQ89" s="2">
        <v>9364</v>
      </c>
      <c r="AR89" s="2"/>
      <c r="AS89" s="2">
        <v>0</v>
      </c>
      <c r="AT89" s="2"/>
      <c r="AU89" s="2">
        <v>0</v>
      </c>
      <c r="AV89" s="2"/>
      <c r="AW89" s="2">
        <v>0</v>
      </c>
      <c r="AX89" s="2"/>
      <c r="AY89" s="2">
        <v>0</v>
      </c>
      <c r="AZ89" s="2"/>
      <c r="BA89" s="2">
        <v>0</v>
      </c>
      <c r="BB89" s="2"/>
      <c r="BC89" s="36">
        <f t="shared" si="4"/>
        <v>6351477</v>
      </c>
      <c r="BD89" s="19" t="s">
        <v>201</v>
      </c>
      <c r="BF89" s="19" t="s">
        <v>202</v>
      </c>
      <c r="BG89" s="2"/>
      <c r="BH89" s="2">
        <v>0</v>
      </c>
      <c r="BI89" s="2"/>
      <c r="BJ89" s="2">
        <v>0</v>
      </c>
      <c r="BK89" s="2"/>
      <c r="BL89" s="2"/>
      <c r="BM89" s="2"/>
      <c r="BN89" s="2">
        <v>0</v>
      </c>
      <c r="BO89" s="2"/>
      <c r="BP89" s="36">
        <f t="shared" si="3"/>
        <v>6351477</v>
      </c>
      <c r="BQ89" s="2"/>
      <c r="BR89" s="64">
        <f>GovRev!AX90-BP89</f>
        <v>-532706</v>
      </c>
      <c r="BS89" s="2"/>
      <c r="BT89" s="2">
        <v>1066368</v>
      </c>
      <c r="BU89" s="2"/>
      <c r="BV89" s="2">
        <v>0</v>
      </c>
      <c r="BW89" s="2"/>
      <c r="BX89" s="36">
        <f t="shared" si="5"/>
        <v>533662</v>
      </c>
      <c r="BY89" s="36"/>
      <c r="BZ89" s="64">
        <f>-BX89+GovBS!AC89</f>
        <v>0</v>
      </c>
    </row>
    <row r="90" spans="1:80" s="19" customFormat="1" ht="12">
      <c r="A90" s="19" t="s">
        <v>203</v>
      </c>
      <c r="C90" s="19" t="s">
        <v>158</v>
      </c>
      <c r="E90" s="19">
        <v>47860</v>
      </c>
      <c r="G90" s="2">
        <v>467219</v>
      </c>
      <c r="H90" s="2"/>
      <c r="I90" s="2">
        <v>2650328</v>
      </c>
      <c r="J90" s="2"/>
      <c r="K90" s="2">
        <v>352093</v>
      </c>
      <c r="L90" s="2"/>
      <c r="M90" s="2">
        <v>23129</v>
      </c>
      <c r="N90" s="2"/>
      <c r="O90" s="2">
        <v>2582153</v>
      </c>
      <c r="P90" s="2"/>
      <c r="Q90" s="2">
        <v>2447319</v>
      </c>
      <c r="R90" s="2"/>
      <c r="S90" s="2">
        <v>12771</v>
      </c>
      <c r="T90" s="2"/>
      <c r="U90" s="2">
        <v>1624999</v>
      </c>
      <c r="V90" s="2"/>
      <c r="W90" s="2">
        <v>570104</v>
      </c>
      <c r="X90" s="2"/>
      <c r="Y90" s="2">
        <v>0</v>
      </c>
      <c r="Z90" s="2"/>
      <c r="AA90" s="2">
        <v>187107</v>
      </c>
      <c r="AB90" s="2"/>
      <c r="AC90" s="19" t="s">
        <v>203</v>
      </c>
      <c r="AE90" s="19" t="s">
        <v>158</v>
      </c>
      <c r="AF90" s="2"/>
      <c r="AG90" s="2">
        <v>149021</v>
      </c>
      <c r="AH90" s="2"/>
      <c r="AI90" s="2">
        <v>778836</v>
      </c>
      <c r="AJ90" s="2"/>
      <c r="AK90" s="2"/>
      <c r="AL90" s="2"/>
      <c r="AM90" s="2">
        <v>0</v>
      </c>
      <c r="AN90" s="2"/>
      <c r="AO90" s="2">
        <v>134179</v>
      </c>
      <c r="AP90" s="2"/>
      <c r="AQ90" s="2">
        <v>449</v>
      </c>
      <c r="AR90" s="2"/>
      <c r="AS90" s="2">
        <v>0</v>
      </c>
      <c r="AT90" s="2"/>
      <c r="AU90" s="2">
        <v>0</v>
      </c>
      <c r="AV90" s="2"/>
      <c r="AW90" s="2">
        <v>0</v>
      </c>
      <c r="AX90" s="2"/>
      <c r="AY90" s="2">
        <v>0</v>
      </c>
      <c r="AZ90" s="2"/>
      <c r="BA90" s="2">
        <v>0</v>
      </c>
      <c r="BB90" s="2"/>
      <c r="BC90" s="36">
        <f t="shared" si="4"/>
        <v>11979707</v>
      </c>
      <c r="BD90" s="19" t="s">
        <v>203</v>
      </c>
      <c r="BF90" s="19" t="s">
        <v>158</v>
      </c>
      <c r="BG90" s="2"/>
      <c r="BH90" s="2">
        <v>1939</v>
      </c>
      <c r="BI90" s="2"/>
      <c r="BJ90" s="2">
        <v>0</v>
      </c>
      <c r="BK90" s="2"/>
      <c r="BL90" s="2"/>
      <c r="BM90" s="2"/>
      <c r="BN90" s="2">
        <v>0</v>
      </c>
      <c r="BO90" s="2"/>
      <c r="BP90" s="36">
        <f t="shared" si="3"/>
        <v>11981646</v>
      </c>
      <c r="BQ90" s="2"/>
      <c r="BR90" s="64">
        <f>GovRev!AX91-BP90</f>
        <v>608362</v>
      </c>
      <c r="BS90" s="2"/>
      <c r="BT90" s="2">
        <v>-115236</v>
      </c>
      <c r="BU90" s="2"/>
      <c r="BV90" s="13">
        <v>0</v>
      </c>
      <c r="BW90" s="2"/>
      <c r="BX90" s="36">
        <f t="shared" si="5"/>
        <v>493126</v>
      </c>
      <c r="BY90" s="36"/>
      <c r="BZ90" s="64">
        <f>-BX90+GovBS!AC90</f>
        <v>0</v>
      </c>
      <c r="CB90" s="60"/>
    </row>
    <row r="91" spans="1:80" s="19" customFormat="1" ht="12">
      <c r="A91" s="19" t="s">
        <v>204</v>
      </c>
      <c r="C91" s="19" t="s">
        <v>205</v>
      </c>
      <c r="E91" s="19">
        <v>47910</v>
      </c>
      <c r="G91" s="2">
        <v>266551</v>
      </c>
      <c r="H91" s="2"/>
      <c r="I91" s="2">
        <v>0</v>
      </c>
      <c r="J91" s="2"/>
      <c r="K91" s="2">
        <v>0</v>
      </c>
      <c r="L91" s="2"/>
      <c r="M91" s="2">
        <v>0</v>
      </c>
      <c r="N91" s="2"/>
      <c r="O91" s="2">
        <v>501597</v>
      </c>
      <c r="P91" s="2"/>
      <c r="Q91" s="2">
        <v>383996</v>
      </c>
      <c r="R91" s="2"/>
      <c r="S91" s="2">
        <v>74601</v>
      </c>
      <c r="T91" s="2"/>
      <c r="U91" s="2">
        <v>278956</v>
      </c>
      <c r="V91" s="2"/>
      <c r="W91" s="2">
        <v>133586</v>
      </c>
      <c r="X91" s="2"/>
      <c r="Y91" s="2">
        <v>260</v>
      </c>
      <c r="Z91" s="2"/>
      <c r="AA91" s="2">
        <v>22396</v>
      </c>
      <c r="AB91" s="2"/>
      <c r="AC91" s="19" t="s">
        <v>204</v>
      </c>
      <c r="AE91" s="19" t="s">
        <v>205</v>
      </c>
      <c r="AG91" s="2">
        <v>0</v>
      </c>
      <c r="AH91" s="2"/>
      <c r="AI91" s="2">
        <v>72279</v>
      </c>
      <c r="AJ91" s="2"/>
      <c r="AK91" s="2"/>
      <c r="AM91" s="2">
        <v>0</v>
      </c>
      <c r="AN91" s="2"/>
      <c r="AO91" s="2">
        <v>0</v>
      </c>
      <c r="AP91" s="2"/>
      <c r="AQ91" s="2">
        <v>0</v>
      </c>
      <c r="AR91" s="2"/>
      <c r="AS91" s="2">
        <v>0</v>
      </c>
      <c r="AT91" s="2"/>
      <c r="AU91" s="2">
        <v>0</v>
      </c>
      <c r="AV91" s="2"/>
      <c r="AW91" s="2">
        <v>0</v>
      </c>
      <c r="AX91" s="2"/>
      <c r="AY91" s="2">
        <v>0</v>
      </c>
      <c r="AZ91" s="2"/>
      <c r="BA91" s="2">
        <v>0</v>
      </c>
      <c r="BB91" s="2"/>
      <c r="BC91" s="36">
        <f t="shared" si="4"/>
        <v>1734222</v>
      </c>
      <c r="BD91" s="19" t="s">
        <v>204</v>
      </c>
      <c r="BF91" s="19" t="s">
        <v>205</v>
      </c>
      <c r="BG91" s="2"/>
      <c r="BH91" s="2">
        <v>10600</v>
      </c>
      <c r="BI91" s="2"/>
      <c r="BJ91" s="2">
        <v>0</v>
      </c>
      <c r="BK91" s="2"/>
      <c r="BL91" s="2"/>
      <c r="BM91" s="2"/>
      <c r="BN91" s="2">
        <v>0</v>
      </c>
      <c r="BO91" s="2"/>
      <c r="BP91" s="36">
        <f t="shared" si="3"/>
        <v>1744822</v>
      </c>
      <c r="BQ91" s="2"/>
      <c r="BR91" s="64">
        <f>GovRev!AX92-BP91</f>
        <v>52849</v>
      </c>
      <c r="BS91" s="2"/>
      <c r="BT91" s="2">
        <v>57920</v>
      </c>
      <c r="BU91" s="2"/>
      <c r="BV91" s="2">
        <v>0</v>
      </c>
      <c r="BW91" s="2"/>
      <c r="BX91" s="36">
        <f t="shared" si="5"/>
        <v>110769</v>
      </c>
      <c r="BY91" s="36"/>
      <c r="BZ91" s="64">
        <f>-BX91+GovBS!AC91</f>
        <v>0</v>
      </c>
    </row>
    <row r="92" spans="1:80" s="19" customFormat="1" ht="12">
      <c r="A92" s="13" t="s">
        <v>206</v>
      </c>
      <c r="B92" s="13"/>
      <c r="C92" s="13" t="s">
        <v>207</v>
      </c>
      <c r="G92" s="2">
        <v>7723</v>
      </c>
      <c r="H92" s="2"/>
      <c r="I92" s="2">
        <v>2756482</v>
      </c>
      <c r="J92" s="2"/>
      <c r="K92" s="2">
        <v>0</v>
      </c>
      <c r="L92" s="2"/>
      <c r="M92" s="2">
        <v>0</v>
      </c>
      <c r="N92" s="2"/>
      <c r="O92" s="2">
        <v>1560473</v>
      </c>
      <c r="P92" s="2"/>
      <c r="Q92" s="2">
        <v>4718364</v>
      </c>
      <c r="R92" s="2"/>
      <c r="S92" s="2">
        <v>13500</v>
      </c>
      <c r="T92" s="2"/>
      <c r="U92" s="2">
        <v>914053</v>
      </c>
      <c r="V92" s="2"/>
      <c r="W92" s="2">
        <v>266118</v>
      </c>
      <c r="X92" s="2"/>
      <c r="Y92" s="2">
        <v>11054</v>
      </c>
      <c r="Z92" s="2"/>
      <c r="AA92" s="2">
        <v>98511</v>
      </c>
      <c r="AB92" s="2"/>
      <c r="AC92" s="13" t="s">
        <v>206</v>
      </c>
      <c r="AD92" s="13"/>
      <c r="AE92" s="13" t="s">
        <v>207</v>
      </c>
      <c r="AG92" s="2">
        <v>0</v>
      </c>
      <c r="AH92" s="2"/>
      <c r="AI92" s="2">
        <v>259030</v>
      </c>
      <c r="AJ92" s="2"/>
      <c r="AK92" s="2"/>
      <c r="AM92" s="2">
        <v>0</v>
      </c>
      <c r="AN92" s="2"/>
      <c r="AO92" s="2">
        <v>0</v>
      </c>
      <c r="AP92" s="2"/>
      <c r="AQ92" s="2">
        <v>0</v>
      </c>
      <c r="AR92" s="2"/>
      <c r="AS92" s="2">
        <v>0</v>
      </c>
      <c r="AT92" s="2"/>
      <c r="AU92" s="2">
        <v>55907</v>
      </c>
      <c r="AV92" s="2"/>
      <c r="AW92" s="2">
        <v>14885</v>
      </c>
      <c r="AX92" s="2"/>
      <c r="AY92" s="2">
        <v>3918</v>
      </c>
      <c r="AZ92" s="2"/>
      <c r="BA92" s="2">
        <v>0</v>
      </c>
      <c r="BB92" s="2"/>
      <c r="BC92" s="36">
        <f>SUM(G92:BA92)</f>
        <v>10680018</v>
      </c>
      <c r="BD92" s="13" t="s">
        <v>206</v>
      </c>
      <c r="BE92" s="13"/>
      <c r="BF92" s="13" t="s">
        <v>207</v>
      </c>
      <c r="BG92" s="2"/>
      <c r="BH92" s="2">
        <v>35000</v>
      </c>
      <c r="BI92" s="2"/>
      <c r="BJ92" s="2">
        <v>0</v>
      </c>
      <c r="BK92" s="2"/>
      <c r="BL92" s="2"/>
      <c r="BM92" s="2"/>
      <c r="BN92" s="2">
        <v>0</v>
      </c>
      <c r="BO92" s="2"/>
      <c r="BP92" s="36">
        <f t="shared" si="3"/>
        <v>10715018</v>
      </c>
      <c r="BQ92" s="2"/>
      <c r="BR92" s="64">
        <f>GovRev!AX93-BP92</f>
        <v>87943</v>
      </c>
      <c r="BS92" s="2"/>
      <c r="BT92" s="2">
        <v>79324</v>
      </c>
      <c r="BU92" s="2"/>
      <c r="BV92" s="2">
        <v>0</v>
      </c>
      <c r="BW92" s="2"/>
      <c r="BX92" s="36">
        <f t="shared" si="5"/>
        <v>167267</v>
      </c>
      <c r="BY92" s="36"/>
      <c r="BZ92" s="64">
        <f>-BX92+GovBS!AC92</f>
        <v>0</v>
      </c>
    </row>
    <row r="93" spans="1:80" s="19" customFormat="1" ht="12">
      <c r="A93" s="19" t="s">
        <v>208</v>
      </c>
      <c r="C93" s="19" t="s">
        <v>209</v>
      </c>
      <c r="E93" s="19">
        <v>48058</v>
      </c>
      <c r="G93" s="2">
        <v>0</v>
      </c>
      <c r="H93" s="2"/>
      <c r="I93" s="2">
        <v>1939100</v>
      </c>
      <c r="J93" s="2"/>
      <c r="K93" s="2">
        <v>0</v>
      </c>
      <c r="L93" s="2"/>
      <c r="M93" s="2">
        <v>0</v>
      </c>
      <c r="N93" s="2"/>
      <c r="O93" s="2">
        <v>521938</v>
      </c>
      <c r="P93" s="2"/>
      <c r="Q93" s="2">
        <v>229481</v>
      </c>
      <c r="R93" s="2"/>
      <c r="S93" s="2">
        <v>9783</v>
      </c>
      <c r="T93" s="2"/>
      <c r="U93" s="2">
        <v>151136</v>
      </c>
      <c r="V93" s="2"/>
      <c r="W93" s="2">
        <v>340512</v>
      </c>
      <c r="X93" s="2"/>
      <c r="Y93" s="2">
        <v>0</v>
      </c>
      <c r="Z93" s="2"/>
      <c r="AA93" s="2">
        <v>9422</v>
      </c>
      <c r="AB93" s="2"/>
      <c r="AC93" s="19" t="s">
        <v>208</v>
      </c>
      <c r="AE93" s="19" t="s">
        <v>209</v>
      </c>
      <c r="AF93" s="2"/>
      <c r="AG93" s="2">
        <v>0</v>
      </c>
      <c r="AH93" s="2"/>
      <c r="AI93" s="2">
        <v>40978</v>
      </c>
      <c r="AJ93" s="2"/>
      <c r="AK93" s="2"/>
      <c r="AL93" s="2"/>
      <c r="AM93" s="2">
        <v>0</v>
      </c>
      <c r="AN93" s="2"/>
      <c r="AO93" s="2">
        <v>31739</v>
      </c>
      <c r="AP93" s="2"/>
      <c r="AQ93" s="2">
        <v>125</v>
      </c>
      <c r="AR93" s="2"/>
      <c r="AS93" s="2">
        <v>0</v>
      </c>
      <c r="AT93" s="2"/>
      <c r="AU93" s="2">
        <v>0</v>
      </c>
      <c r="AV93" s="2"/>
      <c r="AW93" s="2">
        <v>0</v>
      </c>
      <c r="AX93" s="2"/>
      <c r="AY93" s="2">
        <v>0</v>
      </c>
      <c r="AZ93" s="2"/>
      <c r="BA93" s="2">
        <v>0</v>
      </c>
      <c r="BB93" s="2"/>
      <c r="BC93" s="36">
        <f t="shared" si="4"/>
        <v>3274214</v>
      </c>
      <c r="BD93" s="19" t="s">
        <v>208</v>
      </c>
      <c r="BF93" s="19" t="s">
        <v>209</v>
      </c>
      <c r="BG93" s="2"/>
      <c r="BH93" s="2">
        <v>0</v>
      </c>
      <c r="BI93" s="2"/>
      <c r="BJ93" s="2">
        <v>0</v>
      </c>
      <c r="BK93" s="2"/>
      <c r="BL93" s="2"/>
      <c r="BM93" s="2"/>
      <c r="BN93" s="2">
        <v>0</v>
      </c>
      <c r="BO93" s="2"/>
      <c r="BP93" s="36">
        <f t="shared" si="3"/>
        <v>3274214</v>
      </c>
      <c r="BQ93" s="2"/>
      <c r="BR93" s="64">
        <f>GovRev!AX94-BP93</f>
        <v>-5918</v>
      </c>
      <c r="BS93" s="2"/>
      <c r="BT93" s="2">
        <v>578828</v>
      </c>
      <c r="BU93" s="2"/>
      <c r="BV93" s="2">
        <v>0</v>
      </c>
      <c r="BW93" s="2"/>
      <c r="BX93" s="36">
        <f t="shared" si="5"/>
        <v>572910</v>
      </c>
      <c r="BY93" s="36"/>
      <c r="BZ93" s="64">
        <f>-BX93+GovBS!AC93</f>
        <v>0</v>
      </c>
    </row>
    <row r="94" spans="1:80" s="19" customFormat="1" ht="12">
      <c r="A94" s="19" t="s">
        <v>210</v>
      </c>
      <c r="C94" s="19" t="s">
        <v>154</v>
      </c>
      <c r="E94" s="19">
        <v>48108</v>
      </c>
      <c r="G94" s="2">
        <v>832883</v>
      </c>
      <c r="H94" s="2"/>
      <c r="I94" s="2">
        <v>1226636</v>
      </c>
      <c r="J94" s="2"/>
      <c r="K94" s="2">
        <v>0</v>
      </c>
      <c r="L94" s="2"/>
      <c r="M94" s="2">
        <v>0</v>
      </c>
      <c r="N94" s="2"/>
      <c r="O94" s="2">
        <v>1324357</v>
      </c>
      <c r="P94" s="2"/>
      <c r="Q94" s="2">
        <v>5188524</v>
      </c>
      <c r="R94" s="2"/>
      <c r="S94" s="2">
        <v>52344</v>
      </c>
      <c r="T94" s="2"/>
      <c r="U94" s="2">
        <v>772391</v>
      </c>
      <c r="V94" s="2"/>
      <c r="W94" s="2">
        <v>386790</v>
      </c>
      <c r="X94" s="2"/>
      <c r="Y94" s="2">
        <v>420863</v>
      </c>
      <c r="Z94" s="2"/>
      <c r="AA94" s="2">
        <v>319811</v>
      </c>
      <c r="AB94" s="2"/>
      <c r="AC94" s="19" t="s">
        <v>210</v>
      </c>
      <c r="AE94" s="19" t="s">
        <v>154</v>
      </c>
      <c r="AF94" s="2"/>
      <c r="AG94" s="2">
        <v>0</v>
      </c>
      <c r="AH94" s="2"/>
      <c r="AI94" s="2">
        <v>4993</v>
      </c>
      <c r="AJ94" s="2"/>
      <c r="AK94" s="2"/>
      <c r="AL94" s="2"/>
      <c r="AM94" s="2">
        <v>0</v>
      </c>
      <c r="AN94" s="2"/>
      <c r="AO94" s="2">
        <v>311</v>
      </c>
      <c r="AP94" s="2"/>
      <c r="AQ94" s="2">
        <v>14371</v>
      </c>
      <c r="AR94" s="2"/>
      <c r="AS94" s="2">
        <v>592600</v>
      </c>
      <c r="AT94" s="2"/>
      <c r="AU94" s="2">
        <v>0</v>
      </c>
      <c r="AV94" s="2"/>
      <c r="AW94" s="2">
        <v>3870</v>
      </c>
      <c r="AX94" s="2"/>
      <c r="AY94" s="2">
        <v>200</v>
      </c>
      <c r="AZ94" s="2"/>
      <c r="BA94" s="2">
        <v>0</v>
      </c>
      <c r="BB94" s="2"/>
      <c r="BC94" s="36">
        <f t="shared" si="4"/>
        <v>11140944</v>
      </c>
      <c r="BD94" s="19" t="s">
        <v>210</v>
      </c>
      <c r="BF94" s="19" t="s">
        <v>154</v>
      </c>
      <c r="BG94" s="2"/>
      <c r="BH94" s="2">
        <v>200927</v>
      </c>
      <c r="BI94" s="2"/>
      <c r="BJ94" s="2">
        <v>0</v>
      </c>
      <c r="BK94" s="2"/>
      <c r="BL94" s="2"/>
      <c r="BM94" s="2"/>
      <c r="BN94" s="2">
        <v>0</v>
      </c>
      <c r="BO94" s="2"/>
      <c r="BP94" s="36">
        <f t="shared" si="3"/>
        <v>11341871</v>
      </c>
      <c r="BQ94" s="2"/>
      <c r="BR94" s="64">
        <f>GovRev!AX95-BP94</f>
        <v>-511957</v>
      </c>
      <c r="BS94" s="2"/>
      <c r="BT94" s="2">
        <v>3634145</v>
      </c>
      <c r="BU94" s="2"/>
      <c r="BV94" s="13">
        <v>0</v>
      </c>
      <c r="BW94" s="2"/>
      <c r="BX94" s="36">
        <f t="shared" si="5"/>
        <v>3122188</v>
      </c>
      <c r="BY94" s="36"/>
      <c r="BZ94" s="64">
        <f>-BX94+GovBS!AC94</f>
        <v>0</v>
      </c>
    </row>
    <row r="95" spans="1:80" s="19" customFormat="1" ht="12">
      <c r="A95" s="19" t="s">
        <v>211</v>
      </c>
      <c r="C95" s="19" t="s">
        <v>212</v>
      </c>
      <c r="E95" s="19">
        <v>48199</v>
      </c>
      <c r="G95" s="2">
        <v>62877</v>
      </c>
      <c r="H95" s="2"/>
      <c r="I95" s="2">
        <v>6331431</v>
      </c>
      <c r="J95" s="2"/>
      <c r="K95" s="2">
        <v>91643</v>
      </c>
      <c r="L95" s="2"/>
      <c r="M95" s="2">
        <v>39285</v>
      </c>
      <c r="N95" s="2"/>
      <c r="O95" s="2">
        <v>5810814</v>
      </c>
      <c r="P95" s="2"/>
      <c r="Q95" s="2">
        <v>5457455</v>
      </c>
      <c r="R95" s="2"/>
      <c r="S95" s="2">
        <v>36246</v>
      </c>
      <c r="T95" s="2"/>
      <c r="U95" s="2">
        <v>2644918</v>
      </c>
      <c r="V95" s="2"/>
      <c r="W95" s="2">
        <v>1168972</v>
      </c>
      <c r="X95" s="2"/>
      <c r="Y95" s="2">
        <v>93395</v>
      </c>
      <c r="Z95" s="2"/>
      <c r="AA95" s="2">
        <v>1030710</v>
      </c>
      <c r="AB95" s="2"/>
      <c r="AC95" s="19" t="s">
        <v>211</v>
      </c>
      <c r="AE95" s="19" t="s">
        <v>212</v>
      </c>
      <c r="AF95" s="2"/>
      <c r="AG95" s="2">
        <v>142944</v>
      </c>
      <c r="AH95" s="2"/>
      <c r="AI95" s="2">
        <v>342243</v>
      </c>
      <c r="AJ95" s="2"/>
      <c r="AK95" s="2"/>
      <c r="AL95" s="2"/>
      <c r="AM95" s="2">
        <v>36265</v>
      </c>
      <c r="AN95" s="2"/>
      <c r="AO95" s="2">
        <v>3646315</v>
      </c>
      <c r="AP95" s="2"/>
      <c r="AQ95" s="2">
        <v>1910</v>
      </c>
      <c r="AR95" s="2"/>
      <c r="AS95" s="2">
        <v>139189</v>
      </c>
      <c r="AT95" s="2"/>
      <c r="AU95" s="2">
        <v>0</v>
      </c>
      <c r="AV95" s="2"/>
      <c r="AW95" s="2">
        <v>0</v>
      </c>
      <c r="AX95" s="2"/>
      <c r="AY95" s="2">
        <v>0</v>
      </c>
      <c r="AZ95" s="2"/>
      <c r="BA95" s="2">
        <v>0</v>
      </c>
      <c r="BB95" s="2"/>
      <c r="BC95" s="36">
        <f t="shared" si="4"/>
        <v>27076612</v>
      </c>
      <c r="BD95" s="19" t="s">
        <v>211</v>
      </c>
      <c r="BF95" s="19" t="s">
        <v>212</v>
      </c>
      <c r="BG95" s="2"/>
      <c r="BH95" s="2">
        <v>2274066</v>
      </c>
      <c r="BI95" s="2"/>
      <c r="BJ95" s="2">
        <v>0</v>
      </c>
      <c r="BK95" s="2"/>
      <c r="BL95" s="2"/>
      <c r="BM95" s="2"/>
      <c r="BN95" s="2">
        <v>0</v>
      </c>
      <c r="BO95" s="2"/>
      <c r="BP95" s="36">
        <f t="shared" si="3"/>
        <v>29350678</v>
      </c>
      <c r="BQ95" s="2"/>
      <c r="BR95" s="64">
        <f>GovRev!AX96-BP95</f>
        <v>1018551</v>
      </c>
      <c r="BS95" s="2"/>
      <c r="BT95" s="2">
        <v>5654177</v>
      </c>
      <c r="BU95" s="2"/>
      <c r="BV95" s="2">
        <v>0</v>
      </c>
      <c r="BW95" s="2"/>
      <c r="BX95" s="36">
        <f t="shared" si="5"/>
        <v>6672728</v>
      </c>
      <c r="BY95" s="36"/>
      <c r="BZ95" s="64">
        <f>-BX95+GovBS!AC95</f>
        <v>0</v>
      </c>
    </row>
    <row r="96" spans="1:80" s="19" customFormat="1" ht="12">
      <c r="A96" s="19" t="s">
        <v>166</v>
      </c>
      <c r="C96" s="19" t="s">
        <v>167</v>
      </c>
      <c r="E96" s="19">
        <v>137364</v>
      </c>
      <c r="G96" s="2">
        <v>413614</v>
      </c>
      <c r="H96" s="2"/>
      <c r="I96" s="2">
        <v>2712348</v>
      </c>
      <c r="J96" s="2"/>
      <c r="K96" s="2">
        <v>0</v>
      </c>
      <c r="L96" s="2"/>
      <c r="M96" s="2">
        <v>24313</v>
      </c>
      <c r="N96" s="2"/>
      <c r="O96" s="2">
        <v>2547705</v>
      </c>
      <c r="P96" s="2"/>
      <c r="Q96" s="2">
        <v>2493031</v>
      </c>
      <c r="R96" s="2"/>
      <c r="S96" s="2">
        <v>10227</v>
      </c>
      <c r="T96" s="2"/>
      <c r="U96" s="2">
        <v>1397213</v>
      </c>
      <c r="V96" s="2"/>
      <c r="W96" s="2">
        <v>346432</v>
      </c>
      <c r="X96" s="2"/>
      <c r="Y96" s="2">
        <v>6091</v>
      </c>
      <c r="Z96" s="2"/>
      <c r="AA96" s="2">
        <v>24284</v>
      </c>
      <c r="AB96" s="2"/>
      <c r="AC96" s="19" t="s">
        <v>166</v>
      </c>
      <c r="AE96" s="19" t="s">
        <v>167</v>
      </c>
      <c r="AF96" s="2"/>
      <c r="AG96" s="2">
        <v>228794</v>
      </c>
      <c r="AH96" s="2"/>
      <c r="AI96" s="2">
        <v>170477</v>
      </c>
      <c r="AJ96" s="2"/>
      <c r="AK96" s="2"/>
      <c r="AL96" s="2"/>
      <c r="AM96" s="2">
        <v>67943</v>
      </c>
      <c r="AN96" s="2"/>
      <c r="AO96" s="2">
        <v>100</v>
      </c>
      <c r="AP96" s="2"/>
      <c r="AQ96" s="2">
        <v>198</v>
      </c>
      <c r="AR96" s="2"/>
      <c r="AS96" s="2">
        <v>108952</v>
      </c>
      <c r="AT96" s="2"/>
      <c r="AU96" s="2">
        <v>0</v>
      </c>
      <c r="AV96" s="2"/>
      <c r="AW96" s="2">
        <v>21761</v>
      </c>
      <c r="AX96" s="2"/>
      <c r="AY96" s="2">
        <v>5108</v>
      </c>
      <c r="AZ96" s="2"/>
      <c r="BA96" s="2">
        <v>0</v>
      </c>
      <c r="BB96" s="2"/>
      <c r="BC96" s="36">
        <f t="shared" si="4"/>
        <v>10578591</v>
      </c>
      <c r="BD96" s="19" t="s">
        <v>166</v>
      </c>
      <c r="BF96" s="19" t="s">
        <v>167</v>
      </c>
      <c r="BG96" s="2"/>
      <c r="BH96" s="2">
        <v>0</v>
      </c>
      <c r="BI96" s="2"/>
      <c r="BJ96" s="2">
        <v>0</v>
      </c>
      <c r="BK96" s="2"/>
      <c r="BL96" s="2"/>
      <c r="BM96" s="2"/>
      <c r="BN96" s="2">
        <v>0</v>
      </c>
      <c r="BO96" s="2"/>
      <c r="BP96" s="36">
        <f t="shared" si="3"/>
        <v>10578591</v>
      </c>
      <c r="BQ96" s="2"/>
      <c r="BR96" s="64">
        <f>GovRev!AX97-BP96</f>
        <v>-155130</v>
      </c>
      <c r="BS96" s="2"/>
      <c r="BT96" s="2">
        <v>418667</v>
      </c>
      <c r="BU96" s="2"/>
      <c r="BV96" s="2">
        <v>0</v>
      </c>
      <c r="BW96" s="2"/>
      <c r="BX96" s="36">
        <f t="shared" si="5"/>
        <v>263537</v>
      </c>
      <c r="BY96" s="36"/>
      <c r="BZ96" s="64">
        <f>-BX96+GovBS!AC96</f>
        <v>0</v>
      </c>
    </row>
    <row r="97" spans="1:86" s="19" customFormat="1" ht="12.75" customHeight="1">
      <c r="A97" s="19" t="s">
        <v>213</v>
      </c>
      <c r="C97" s="19" t="s">
        <v>214</v>
      </c>
      <c r="E97" s="19">
        <v>48280</v>
      </c>
      <c r="G97" s="2">
        <v>1788216</v>
      </c>
      <c r="H97" s="2"/>
      <c r="I97" s="2">
        <v>5780858</v>
      </c>
      <c r="J97" s="2"/>
      <c r="K97" s="2">
        <v>60922</v>
      </c>
      <c r="L97" s="2"/>
      <c r="M97" s="2">
        <v>0</v>
      </c>
      <c r="N97" s="2"/>
      <c r="O97" s="2">
        <v>5181287</v>
      </c>
      <c r="P97" s="2"/>
      <c r="Q97" s="2">
        <v>5992984</v>
      </c>
      <c r="R97" s="2"/>
      <c r="S97" s="2">
        <v>64980</v>
      </c>
      <c r="T97" s="2"/>
      <c r="U97" s="2">
        <v>1274405</v>
      </c>
      <c r="V97" s="2"/>
      <c r="W97" s="2">
        <v>1431098</v>
      </c>
      <c r="X97" s="2"/>
      <c r="Y97" s="2">
        <v>327225</v>
      </c>
      <c r="Z97" s="2"/>
      <c r="AA97" s="2">
        <v>501651</v>
      </c>
      <c r="AB97" s="2"/>
      <c r="AC97" s="19" t="s">
        <v>213</v>
      </c>
      <c r="AE97" s="19" t="s">
        <v>214</v>
      </c>
      <c r="AF97" s="2"/>
      <c r="AG97" s="2">
        <v>17482</v>
      </c>
      <c r="AH97" s="2"/>
      <c r="AI97" s="2">
        <v>3326677</v>
      </c>
      <c r="AJ97" s="2"/>
      <c r="AK97" s="2"/>
      <c r="AL97" s="2"/>
      <c r="AM97" s="2">
        <v>0</v>
      </c>
      <c r="AN97" s="2"/>
      <c r="AO97" s="2">
        <v>211580</v>
      </c>
      <c r="AP97" s="2"/>
      <c r="AQ97" s="2">
        <v>0</v>
      </c>
      <c r="AR97" s="2"/>
      <c r="AS97" s="2">
        <v>0</v>
      </c>
      <c r="AT97" s="2"/>
      <c r="AU97" s="2">
        <v>0</v>
      </c>
      <c r="AV97" s="2"/>
      <c r="AW97" s="2">
        <v>0</v>
      </c>
      <c r="AX97" s="2"/>
      <c r="AY97" s="2">
        <v>0</v>
      </c>
      <c r="AZ97" s="2"/>
      <c r="BA97" s="2">
        <v>0</v>
      </c>
      <c r="BB97" s="2"/>
      <c r="BC97" s="36">
        <f t="shared" si="4"/>
        <v>25959365</v>
      </c>
      <c r="BD97" s="19" t="s">
        <v>213</v>
      </c>
      <c r="BF97" s="19" t="s">
        <v>214</v>
      </c>
      <c r="BG97" s="2"/>
      <c r="BH97" s="2">
        <v>120000</v>
      </c>
      <c r="BI97" s="2"/>
      <c r="BJ97" s="2">
        <v>0</v>
      </c>
      <c r="BK97" s="2"/>
      <c r="BL97" s="2"/>
      <c r="BM97" s="2"/>
      <c r="BN97" s="2">
        <v>0</v>
      </c>
      <c r="BO97" s="2"/>
      <c r="BP97" s="36">
        <f t="shared" si="3"/>
        <v>26079365</v>
      </c>
      <c r="BQ97" s="2"/>
      <c r="BR97" s="64">
        <f>GovRev!AX98-BP97</f>
        <v>136504</v>
      </c>
      <c r="BS97" s="2"/>
      <c r="BT97" s="2">
        <v>4296155</v>
      </c>
      <c r="BU97" s="2"/>
      <c r="BV97" s="2">
        <v>0</v>
      </c>
      <c r="BW97" s="2"/>
      <c r="BX97" s="36">
        <f t="shared" si="5"/>
        <v>4432659</v>
      </c>
      <c r="BY97" s="36"/>
      <c r="BZ97" s="64">
        <f>-BX97+GovBS!AC97</f>
        <v>0</v>
      </c>
    </row>
    <row r="98" spans="1:86" s="19" customFormat="1" ht="12">
      <c r="A98" s="19" t="s">
        <v>215</v>
      </c>
      <c r="C98" s="19" t="s">
        <v>216</v>
      </c>
      <c r="E98" s="19">
        <v>48454</v>
      </c>
      <c r="G98" s="2">
        <v>356531</v>
      </c>
      <c r="H98" s="2"/>
      <c r="I98" s="2">
        <v>449674</v>
      </c>
      <c r="J98" s="2"/>
      <c r="K98" s="2">
        <v>57912</v>
      </c>
      <c r="L98" s="2"/>
      <c r="M98" s="2">
        <v>220702</v>
      </c>
      <c r="N98" s="2"/>
      <c r="O98" s="2">
        <v>573789</v>
      </c>
      <c r="P98" s="2"/>
      <c r="Q98" s="2">
        <v>2690001</v>
      </c>
      <c r="R98" s="2"/>
      <c r="S98" s="2">
        <v>55406</v>
      </c>
      <c r="T98" s="2"/>
      <c r="U98" s="2">
        <v>175660</v>
      </c>
      <c r="V98" s="2"/>
      <c r="W98" s="2">
        <v>254927</v>
      </c>
      <c r="X98" s="2"/>
      <c r="Y98" s="2">
        <v>254749</v>
      </c>
      <c r="Z98" s="2"/>
      <c r="AA98" s="2">
        <v>0</v>
      </c>
      <c r="AB98" s="2"/>
      <c r="AC98" s="19" t="s">
        <v>215</v>
      </c>
      <c r="AE98" s="19" t="s">
        <v>216</v>
      </c>
      <c r="AF98" s="2"/>
      <c r="AG98" s="2">
        <v>45</v>
      </c>
      <c r="AH98" s="2"/>
      <c r="AI98" s="2">
        <v>294465</v>
      </c>
      <c r="AJ98" s="2"/>
      <c r="AK98" s="2"/>
      <c r="AL98" s="2"/>
      <c r="AM98" s="2">
        <v>0</v>
      </c>
      <c r="AN98" s="2"/>
      <c r="AO98" s="2">
        <v>520</v>
      </c>
      <c r="AP98" s="2"/>
      <c r="AQ98" s="2">
        <v>25405</v>
      </c>
      <c r="AR98" s="2"/>
      <c r="AS98" s="2">
        <v>0</v>
      </c>
      <c r="AT98" s="2"/>
      <c r="AU98" s="2">
        <v>0</v>
      </c>
      <c r="AV98" s="2"/>
      <c r="AW98" s="2">
        <v>0</v>
      </c>
      <c r="AX98" s="2"/>
      <c r="AY98" s="2">
        <v>0</v>
      </c>
      <c r="AZ98" s="2"/>
      <c r="BA98" s="2">
        <v>0</v>
      </c>
      <c r="BB98" s="2"/>
      <c r="BC98" s="36">
        <f t="shared" si="4"/>
        <v>5409786</v>
      </c>
      <c r="BD98" s="19" t="s">
        <v>215</v>
      </c>
      <c r="BF98" s="19" t="s">
        <v>216</v>
      </c>
      <c r="BG98" s="2"/>
      <c r="BH98" s="2">
        <v>0</v>
      </c>
      <c r="BI98" s="2"/>
      <c r="BJ98" s="2">
        <v>0</v>
      </c>
      <c r="BK98" s="2"/>
      <c r="BL98" s="2"/>
      <c r="BM98" s="2"/>
      <c r="BN98" s="2">
        <v>0</v>
      </c>
      <c r="BO98" s="2"/>
      <c r="BP98" s="36">
        <f t="shared" si="3"/>
        <v>5409786</v>
      </c>
      <c r="BQ98" s="2"/>
      <c r="BR98" s="64">
        <f>GovRev!AX99-BP98</f>
        <v>12628</v>
      </c>
      <c r="BS98" s="2"/>
      <c r="BT98" s="2">
        <v>2037845</v>
      </c>
      <c r="BU98" s="2"/>
      <c r="BV98" s="13">
        <v>0</v>
      </c>
      <c r="BW98" s="2"/>
      <c r="BX98" s="36">
        <f t="shared" si="5"/>
        <v>2050473</v>
      </c>
      <c r="BY98" s="36"/>
      <c r="BZ98" s="64">
        <f>-BX98+GovBS!AC98</f>
        <v>0</v>
      </c>
    </row>
    <row r="99" spans="1:86" s="19" customFormat="1" ht="12" hidden="1">
      <c r="A99" s="13" t="s">
        <v>419</v>
      </c>
      <c r="C99" s="19" t="s">
        <v>218</v>
      </c>
      <c r="E99" s="19">
        <v>48546</v>
      </c>
      <c r="G99" s="2">
        <v>200354</v>
      </c>
      <c r="H99" s="2"/>
      <c r="I99" s="2">
        <v>2725427</v>
      </c>
      <c r="J99" s="2"/>
      <c r="K99" s="2"/>
      <c r="L99" s="2"/>
      <c r="M99" s="2"/>
      <c r="N99" s="2"/>
      <c r="O99" s="2">
        <v>1490113</v>
      </c>
      <c r="P99" s="2"/>
      <c r="Q99" s="2">
        <v>332383</v>
      </c>
      <c r="R99" s="2"/>
      <c r="S99" s="2">
        <v>75229</v>
      </c>
      <c r="T99" s="2"/>
      <c r="U99" s="2">
        <v>335360</v>
      </c>
      <c r="V99" s="2"/>
      <c r="W99" s="2">
        <v>96952</v>
      </c>
      <c r="X99" s="2"/>
      <c r="Y99" s="2">
        <v>9957</v>
      </c>
      <c r="Z99" s="2"/>
      <c r="AA99" s="2">
        <v>34775</v>
      </c>
      <c r="AB99" s="2"/>
      <c r="AC99" s="19" t="s">
        <v>217</v>
      </c>
      <c r="AE99" s="19" t="s">
        <v>218</v>
      </c>
      <c r="AF99" s="2"/>
      <c r="AG99" s="2">
        <v>143753</v>
      </c>
      <c r="AH99" s="2"/>
      <c r="AI99" s="2">
        <v>44902</v>
      </c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>
        <v>788860</v>
      </c>
      <c r="AV99" s="2"/>
      <c r="AW99" s="2">
        <v>2946</v>
      </c>
      <c r="AX99" s="2"/>
      <c r="AY99" s="2">
        <v>133</v>
      </c>
      <c r="AZ99" s="2"/>
      <c r="BA99" s="2">
        <v>0</v>
      </c>
      <c r="BB99" s="2"/>
      <c r="BC99" s="36">
        <f t="shared" si="4"/>
        <v>6281144</v>
      </c>
      <c r="BD99" s="19" t="s">
        <v>217</v>
      </c>
      <c r="BF99" s="19" t="s">
        <v>218</v>
      </c>
      <c r="BG99" s="2"/>
      <c r="BH99" s="2"/>
      <c r="BI99" s="2"/>
      <c r="BJ99" s="2">
        <v>0</v>
      </c>
      <c r="BK99" s="2"/>
      <c r="BL99" s="2"/>
      <c r="BM99" s="2"/>
      <c r="BN99" s="2">
        <v>0</v>
      </c>
      <c r="BO99" s="2"/>
      <c r="BP99" s="36">
        <f t="shared" si="3"/>
        <v>6281144</v>
      </c>
      <c r="BQ99" s="2"/>
      <c r="BR99" s="64">
        <f>GovRev!AX100-BP99</f>
        <v>119609</v>
      </c>
      <c r="BS99" s="2"/>
      <c r="BT99" s="2">
        <v>1096545</v>
      </c>
      <c r="BU99" s="2"/>
      <c r="BV99" s="2">
        <v>0</v>
      </c>
      <c r="BW99" s="2"/>
      <c r="BX99" s="36">
        <f t="shared" si="5"/>
        <v>1216154</v>
      </c>
      <c r="BY99" s="36"/>
      <c r="BZ99" s="64">
        <f>-BX99+GovBS!AC99</f>
        <v>1056</v>
      </c>
      <c r="CB99" s="63" t="s">
        <v>373</v>
      </c>
    </row>
    <row r="100" spans="1:86" s="19" customFormat="1" ht="12">
      <c r="A100" s="19" t="s">
        <v>219</v>
      </c>
      <c r="C100" s="19" t="s">
        <v>220</v>
      </c>
      <c r="E100" s="19">
        <v>48603</v>
      </c>
      <c r="G100" s="2">
        <v>324472</v>
      </c>
      <c r="H100" s="2"/>
      <c r="I100" s="2">
        <v>3882062</v>
      </c>
      <c r="J100" s="2"/>
      <c r="K100" s="2">
        <v>0</v>
      </c>
      <c r="L100" s="2"/>
      <c r="M100" s="2">
        <v>0</v>
      </c>
      <c r="N100" s="2"/>
      <c r="O100" s="2">
        <v>2631894</v>
      </c>
      <c r="P100" s="2"/>
      <c r="Q100" s="2">
        <v>2378836</v>
      </c>
      <c r="R100" s="2"/>
      <c r="S100" s="2">
        <v>18631</v>
      </c>
      <c r="T100" s="2"/>
      <c r="U100" s="2">
        <v>1283589</v>
      </c>
      <c r="V100" s="2"/>
      <c r="W100" s="2">
        <v>181714</v>
      </c>
      <c r="X100" s="2"/>
      <c r="Y100" s="2">
        <v>0</v>
      </c>
      <c r="Z100" s="2"/>
      <c r="AA100" s="2">
        <v>67387</v>
      </c>
      <c r="AB100" s="2"/>
      <c r="AC100" s="19" t="s">
        <v>219</v>
      </c>
      <c r="AE100" s="19" t="s">
        <v>220</v>
      </c>
      <c r="AF100" s="2"/>
      <c r="AG100" s="2">
        <v>9802</v>
      </c>
      <c r="AH100" s="2"/>
      <c r="AI100" s="2">
        <v>434318</v>
      </c>
      <c r="AJ100" s="2"/>
      <c r="AK100" s="2"/>
      <c r="AL100" s="2"/>
      <c r="AM100" s="2">
        <v>0</v>
      </c>
      <c r="AN100" s="2"/>
      <c r="AO100" s="2">
        <v>0</v>
      </c>
      <c r="AP100" s="2"/>
      <c r="AQ100" s="2">
        <v>1180</v>
      </c>
      <c r="AR100" s="2"/>
      <c r="AS100" s="2">
        <v>1180</v>
      </c>
      <c r="AT100" s="2"/>
      <c r="AU100" s="2">
        <v>0</v>
      </c>
      <c r="AV100" s="2"/>
      <c r="AW100" s="2">
        <v>7141</v>
      </c>
      <c r="AX100" s="2"/>
      <c r="AY100" s="2">
        <v>921</v>
      </c>
      <c r="AZ100" s="2"/>
      <c r="BA100" s="2">
        <v>0</v>
      </c>
      <c r="BB100" s="2"/>
      <c r="BC100" s="36">
        <f t="shared" si="4"/>
        <v>11223127</v>
      </c>
      <c r="BD100" s="19" t="s">
        <v>219</v>
      </c>
      <c r="BF100" s="19" t="s">
        <v>220</v>
      </c>
      <c r="BG100" s="2"/>
      <c r="BH100" s="2">
        <v>0</v>
      </c>
      <c r="BI100" s="2"/>
      <c r="BJ100" s="2">
        <v>0</v>
      </c>
      <c r="BK100" s="2"/>
      <c r="BL100" s="2"/>
      <c r="BM100" s="2"/>
      <c r="BN100" s="2">
        <v>0</v>
      </c>
      <c r="BO100" s="2"/>
      <c r="BP100" s="36">
        <f t="shared" si="3"/>
        <v>11223127</v>
      </c>
      <c r="BQ100" s="2"/>
      <c r="BR100" s="64">
        <f>GovRev!AX101-BP100</f>
        <v>-3990</v>
      </c>
      <c r="BS100" s="2"/>
      <c r="BT100" s="2">
        <v>1558877</v>
      </c>
      <c r="BU100" s="2"/>
      <c r="BV100" s="2">
        <v>0</v>
      </c>
      <c r="BW100" s="2"/>
      <c r="BX100" s="36">
        <f t="shared" si="5"/>
        <v>1554887</v>
      </c>
      <c r="BY100" s="36"/>
      <c r="BZ100" s="64">
        <f>-BX100+GovBS!AC100</f>
        <v>0</v>
      </c>
    </row>
    <row r="101" spans="1:86" s="19" customFormat="1" ht="12" hidden="1">
      <c r="A101" s="2" t="s">
        <v>418</v>
      </c>
      <c r="B101" s="2"/>
      <c r="C101" s="2" t="s">
        <v>236</v>
      </c>
      <c r="G101" s="2">
        <v>585956</v>
      </c>
      <c r="H101" s="2"/>
      <c r="I101" s="2">
        <v>4164124</v>
      </c>
      <c r="J101" s="2"/>
      <c r="K101" s="2"/>
      <c r="L101" s="2"/>
      <c r="M101" s="2">
        <v>22061</v>
      </c>
      <c r="N101" s="2"/>
      <c r="O101" s="2">
        <v>3783873</v>
      </c>
      <c r="P101" s="2"/>
      <c r="Q101" s="2">
        <v>4477434</v>
      </c>
      <c r="R101" s="2"/>
      <c r="S101" s="2">
        <v>88846</v>
      </c>
      <c r="T101" s="2"/>
      <c r="U101" s="2">
        <v>1470329</v>
      </c>
      <c r="V101" s="2"/>
      <c r="W101" s="2">
        <v>489113</v>
      </c>
      <c r="X101" s="2"/>
      <c r="Y101" s="2">
        <v>279540</v>
      </c>
      <c r="Z101" s="2"/>
      <c r="AA101" s="2">
        <v>533972</v>
      </c>
      <c r="AB101" s="2"/>
      <c r="AC101" s="2" t="s">
        <v>418</v>
      </c>
      <c r="AD101" s="2"/>
      <c r="AE101" s="2" t="s">
        <v>236</v>
      </c>
      <c r="AF101" s="2"/>
      <c r="AG101" s="2"/>
      <c r="AH101" s="2"/>
      <c r="AI101" s="2">
        <v>241103</v>
      </c>
      <c r="AJ101" s="2"/>
      <c r="AK101" s="2"/>
      <c r="AL101" s="2"/>
      <c r="AM101" s="2"/>
      <c r="AN101" s="2"/>
      <c r="AO101" s="2">
        <v>784860</v>
      </c>
      <c r="AP101" s="2"/>
      <c r="AQ101" s="2"/>
      <c r="AR101" s="2"/>
      <c r="AS101" s="2">
        <v>50180</v>
      </c>
      <c r="AT101" s="2"/>
      <c r="AU101" s="2"/>
      <c r="AV101" s="2"/>
      <c r="AW101" s="2">
        <v>95542</v>
      </c>
      <c r="AX101" s="2"/>
      <c r="AY101" s="2">
        <v>23286</v>
      </c>
      <c r="AZ101" s="2"/>
      <c r="BA101" s="2">
        <v>0</v>
      </c>
      <c r="BB101" s="2"/>
      <c r="BC101" s="36">
        <f t="shared" si="4"/>
        <v>17090219</v>
      </c>
      <c r="BD101" s="2" t="s">
        <v>418</v>
      </c>
      <c r="BE101" s="2"/>
      <c r="BF101" s="2" t="s">
        <v>236</v>
      </c>
      <c r="BG101" s="2"/>
      <c r="BH101" s="2"/>
      <c r="BI101" s="2"/>
      <c r="BJ101" s="2">
        <v>0</v>
      </c>
      <c r="BK101" s="2"/>
      <c r="BL101" s="2"/>
      <c r="BM101" s="2"/>
      <c r="BN101" s="2">
        <v>0</v>
      </c>
      <c r="BO101" s="2"/>
      <c r="BP101" s="36">
        <f t="shared" si="3"/>
        <v>17090219</v>
      </c>
      <c r="BQ101" s="2"/>
      <c r="BR101" s="64">
        <f>GovRev!AX102-BP101</f>
        <v>763213</v>
      </c>
      <c r="BS101" s="2"/>
      <c r="BT101" s="2">
        <v>5041608</v>
      </c>
      <c r="BU101" s="2"/>
      <c r="BV101" s="2">
        <v>0</v>
      </c>
      <c r="BW101" s="2"/>
      <c r="BX101" s="36">
        <f t="shared" si="5"/>
        <v>5804821</v>
      </c>
      <c r="BY101" s="36"/>
      <c r="BZ101" s="64">
        <f>-BX101+GovBS!AC101</f>
        <v>0</v>
      </c>
      <c r="CB101" s="63" t="s">
        <v>373</v>
      </c>
    </row>
    <row r="102" spans="1:86" s="19" customFormat="1" ht="12">
      <c r="A102" s="19" t="s">
        <v>221</v>
      </c>
      <c r="C102" s="19" t="s">
        <v>222</v>
      </c>
      <c r="E102" s="19">
        <v>48660</v>
      </c>
      <c r="G102" s="2">
        <v>0</v>
      </c>
      <c r="H102" s="2"/>
      <c r="I102" s="2">
        <v>6562465</v>
      </c>
      <c r="J102" s="2"/>
      <c r="K102" s="2">
        <v>0</v>
      </c>
      <c r="L102" s="2"/>
      <c r="M102" s="2">
        <v>0</v>
      </c>
      <c r="N102" s="2"/>
      <c r="O102" s="2">
        <v>7574288</v>
      </c>
      <c r="P102" s="2"/>
      <c r="Q102" s="2">
        <v>10064595</v>
      </c>
      <c r="R102" s="2"/>
      <c r="S102" s="2">
        <v>60667</v>
      </c>
      <c r="T102" s="2"/>
      <c r="U102" s="2">
        <v>1800591</v>
      </c>
      <c r="V102" s="2"/>
      <c r="W102" s="2">
        <v>718892</v>
      </c>
      <c r="X102" s="2"/>
      <c r="Y102" s="2">
        <v>0</v>
      </c>
      <c r="Z102" s="2"/>
      <c r="AA102" s="2">
        <v>1478435</v>
      </c>
      <c r="AB102" s="2"/>
      <c r="AC102" s="19" t="s">
        <v>221</v>
      </c>
      <c r="AE102" s="19" t="s">
        <v>222</v>
      </c>
      <c r="AF102" s="2"/>
      <c r="AG102" s="2">
        <v>1112220</v>
      </c>
      <c r="AH102" s="2"/>
      <c r="AI102" s="2">
        <v>974773</v>
      </c>
      <c r="AJ102" s="2"/>
      <c r="AK102" s="2"/>
      <c r="AL102" s="2"/>
      <c r="AM102" s="2">
        <v>0</v>
      </c>
      <c r="AN102" s="2"/>
      <c r="AO102" s="2">
        <v>242850</v>
      </c>
      <c r="AP102" s="2"/>
      <c r="AQ102" s="2">
        <v>0</v>
      </c>
      <c r="AR102" s="2"/>
      <c r="AS102" s="2">
        <v>186774</v>
      </c>
      <c r="AT102" s="2"/>
      <c r="AU102" s="2">
        <v>0</v>
      </c>
      <c r="AV102" s="2"/>
      <c r="AW102" s="2">
        <v>427705</v>
      </c>
      <c r="AX102" s="2"/>
      <c r="AY102" s="2">
        <v>41358</v>
      </c>
      <c r="AZ102" s="2"/>
      <c r="BA102" s="2">
        <v>0</v>
      </c>
      <c r="BB102" s="2"/>
      <c r="BC102" s="36">
        <f t="shared" si="4"/>
        <v>31245613</v>
      </c>
      <c r="BD102" s="19" t="s">
        <v>221</v>
      </c>
      <c r="BF102" s="19" t="s">
        <v>222</v>
      </c>
      <c r="BG102" s="2"/>
      <c r="BH102" s="2">
        <v>90699</v>
      </c>
      <c r="BI102" s="2"/>
      <c r="BJ102" s="2">
        <v>0</v>
      </c>
      <c r="BK102" s="2"/>
      <c r="BL102" s="2"/>
      <c r="BM102" s="2"/>
      <c r="BN102" s="2">
        <v>0</v>
      </c>
      <c r="BO102" s="2"/>
      <c r="BP102" s="36">
        <f t="shared" si="3"/>
        <v>31336312</v>
      </c>
      <c r="BQ102" s="2"/>
      <c r="BR102" s="64">
        <f>GovRev!AX103-BP102</f>
        <v>1164274</v>
      </c>
      <c r="BS102" s="2"/>
      <c r="BT102" s="2">
        <v>13560550</v>
      </c>
      <c r="BU102" s="2"/>
      <c r="BV102" s="13">
        <v>0</v>
      </c>
      <c r="BW102" s="2"/>
      <c r="BX102" s="36">
        <f t="shared" si="5"/>
        <v>14724824</v>
      </c>
      <c r="BY102" s="36"/>
      <c r="BZ102" s="64">
        <f>-BX102+GovBS!AC102</f>
        <v>0</v>
      </c>
    </row>
    <row r="103" spans="1:86" s="19" customFormat="1" ht="12">
      <c r="A103" s="19" t="s">
        <v>223</v>
      </c>
      <c r="C103" s="19" t="s">
        <v>224</v>
      </c>
      <c r="E103" s="19">
        <v>125252</v>
      </c>
      <c r="G103" s="2">
        <v>3840057</v>
      </c>
      <c r="H103" s="2"/>
      <c r="I103" s="2">
        <v>0</v>
      </c>
      <c r="J103" s="2"/>
      <c r="K103" s="2">
        <v>0</v>
      </c>
      <c r="L103" s="2"/>
      <c r="M103" s="2">
        <v>0</v>
      </c>
      <c r="N103" s="2"/>
      <c r="O103" s="2">
        <v>2003628</v>
      </c>
      <c r="P103" s="2"/>
      <c r="Q103" s="2">
        <v>4838295</v>
      </c>
      <c r="R103" s="2"/>
      <c r="S103" s="2">
        <v>25115</v>
      </c>
      <c r="T103" s="2"/>
      <c r="U103" s="2">
        <v>1023230</v>
      </c>
      <c r="V103" s="2"/>
      <c r="W103" s="2">
        <v>305033</v>
      </c>
      <c r="X103" s="2"/>
      <c r="Y103" s="2">
        <v>0</v>
      </c>
      <c r="Z103" s="2"/>
      <c r="AA103" s="2">
        <v>68360</v>
      </c>
      <c r="AB103" s="2"/>
      <c r="AC103" s="19" t="s">
        <v>223</v>
      </c>
      <c r="AE103" s="19" t="s">
        <v>224</v>
      </c>
      <c r="AF103" s="2"/>
      <c r="AG103" s="2">
        <v>15143</v>
      </c>
      <c r="AH103" s="2"/>
      <c r="AI103" s="2">
        <v>274436</v>
      </c>
      <c r="AJ103" s="2"/>
      <c r="AK103" s="2"/>
      <c r="AL103" s="2"/>
      <c r="AM103" s="2">
        <v>0</v>
      </c>
      <c r="AN103" s="2"/>
      <c r="AO103" s="2">
        <v>9876</v>
      </c>
      <c r="AP103" s="2"/>
      <c r="AQ103" s="2">
        <v>12163</v>
      </c>
      <c r="AR103" s="2"/>
      <c r="AS103" s="2">
        <v>1414</v>
      </c>
      <c r="AT103" s="2"/>
      <c r="AU103" s="2">
        <v>0</v>
      </c>
      <c r="AV103" s="2"/>
      <c r="AW103" s="2">
        <v>0</v>
      </c>
      <c r="AX103" s="2"/>
      <c r="AY103" s="2">
        <v>0</v>
      </c>
      <c r="AZ103" s="2"/>
      <c r="BA103" s="2">
        <v>0</v>
      </c>
      <c r="BB103" s="2"/>
      <c r="BC103" s="36">
        <f t="shared" si="4"/>
        <v>12416750</v>
      </c>
      <c r="BD103" s="19" t="s">
        <v>223</v>
      </c>
      <c r="BF103" s="19" t="s">
        <v>224</v>
      </c>
      <c r="BG103" s="2"/>
      <c r="BH103" s="2">
        <v>0</v>
      </c>
      <c r="BI103" s="2"/>
      <c r="BJ103" s="2">
        <v>0</v>
      </c>
      <c r="BK103" s="2"/>
      <c r="BL103" s="2"/>
      <c r="BM103" s="2"/>
      <c r="BN103" s="2">
        <v>0</v>
      </c>
      <c r="BO103" s="2"/>
      <c r="BP103" s="36">
        <f t="shared" si="3"/>
        <v>12416750</v>
      </c>
      <c r="BQ103" s="2"/>
      <c r="BR103" s="64">
        <f>GovRev!AX104-BP103</f>
        <v>-10960</v>
      </c>
      <c r="BS103" s="2"/>
      <c r="BT103" s="2">
        <v>3129396</v>
      </c>
      <c r="BU103" s="2"/>
      <c r="BV103" s="2">
        <v>0</v>
      </c>
      <c r="BW103" s="2"/>
      <c r="BX103" s="36">
        <f t="shared" si="5"/>
        <v>3118436</v>
      </c>
      <c r="BY103" s="36"/>
      <c r="BZ103" s="64">
        <f>-BX103+GovBS!AC103</f>
        <v>0</v>
      </c>
      <c r="CH103" s="60"/>
    </row>
    <row r="104" spans="1:86" s="19" customFormat="1" ht="12">
      <c r="A104" s="19" t="s">
        <v>374</v>
      </c>
      <c r="C104" s="19" t="s">
        <v>244</v>
      </c>
      <c r="E104" s="19">
        <v>123257</v>
      </c>
      <c r="G104" s="2">
        <v>607818</v>
      </c>
      <c r="H104" s="2"/>
      <c r="I104" s="2">
        <v>5109508</v>
      </c>
      <c r="J104" s="2"/>
      <c r="K104" s="2">
        <v>0</v>
      </c>
      <c r="L104" s="2"/>
      <c r="M104" s="2">
        <v>0</v>
      </c>
      <c r="N104" s="2"/>
      <c r="O104" s="2">
        <v>3328824</v>
      </c>
      <c r="P104" s="2"/>
      <c r="Q104" s="2">
        <v>3528454</v>
      </c>
      <c r="R104" s="2"/>
      <c r="S104" s="2">
        <v>51627</v>
      </c>
      <c r="T104" s="2"/>
      <c r="U104" s="2">
        <v>1828672</v>
      </c>
      <c r="V104" s="2"/>
      <c r="W104" s="2">
        <v>596108</v>
      </c>
      <c r="X104" s="2"/>
      <c r="Y104" s="2">
        <v>133168</v>
      </c>
      <c r="Z104" s="2"/>
      <c r="AA104" s="2">
        <v>487089</v>
      </c>
      <c r="AB104" s="2"/>
      <c r="AC104" s="19" t="s">
        <v>243</v>
      </c>
      <c r="AE104" s="19" t="s">
        <v>244</v>
      </c>
      <c r="AF104" s="2"/>
      <c r="AG104" s="2">
        <v>126899</v>
      </c>
      <c r="AH104" s="2"/>
      <c r="AI104" s="2">
        <v>547153</v>
      </c>
      <c r="AJ104" s="2"/>
      <c r="AK104" s="2">
        <v>0</v>
      </c>
      <c r="AL104" s="2"/>
      <c r="AM104" s="2">
        <v>23082</v>
      </c>
      <c r="AN104" s="2"/>
      <c r="AO104" s="2">
        <v>84591</v>
      </c>
      <c r="AP104" s="2"/>
      <c r="AQ104" s="2">
        <v>0</v>
      </c>
      <c r="AR104" s="2"/>
      <c r="AS104" s="2">
        <v>0</v>
      </c>
      <c r="AT104" s="2"/>
      <c r="AU104" s="2">
        <v>0</v>
      </c>
      <c r="AV104" s="2"/>
      <c r="AW104" s="2">
        <v>0</v>
      </c>
      <c r="AX104" s="2"/>
      <c r="AY104" s="2">
        <v>0</v>
      </c>
      <c r="AZ104" s="2"/>
      <c r="BA104" s="2">
        <v>0</v>
      </c>
      <c r="BB104" s="2"/>
      <c r="BC104" s="36">
        <f t="shared" si="4"/>
        <v>16452993</v>
      </c>
      <c r="BD104" s="19" t="s">
        <v>243</v>
      </c>
      <c r="BF104" s="19" t="s">
        <v>244</v>
      </c>
      <c r="BG104" s="2"/>
      <c r="BH104" s="2">
        <v>8648</v>
      </c>
      <c r="BI104" s="2"/>
      <c r="BJ104" s="2">
        <v>0</v>
      </c>
      <c r="BK104" s="2"/>
      <c r="BL104" s="2">
        <v>0</v>
      </c>
      <c r="BM104" s="2"/>
      <c r="BN104" s="2">
        <v>0</v>
      </c>
      <c r="BO104" s="2"/>
      <c r="BP104" s="36">
        <f t="shared" si="3"/>
        <v>16461641</v>
      </c>
      <c r="BQ104" s="2"/>
      <c r="BR104" s="64">
        <f>GovRev!AX105-BP104</f>
        <v>576192</v>
      </c>
      <c r="BS104" s="2"/>
      <c r="BT104" s="2">
        <v>115603</v>
      </c>
      <c r="BU104" s="2"/>
      <c r="BV104" s="2">
        <v>0</v>
      </c>
      <c r="BW104" s="2"/>
      <c r="BX104" s="36">
        <f t="shared" si="5"/>
        <v>691795</v>
      </c>
      <c r="BY104" s="36"/>
      <c r="BZ104" s="64">
        <f>-BX104+GovBS!AC104</f>
        <v>0</v>
      </c>
    </row>
    <row r="105" spans="1:86" s="19" customFormat="1" ht="12" hidden="1">
      <c r="A105" s="19" t="s">
        <v>413</v>
      </c>
      <c r="C105" s="19" t="s">
        <v>183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>
        <v>0</v>
      </c>
      <c r="BB105" s="2"/>
      <c r="BC105" s="36"/>
      <c r="BG105" s="2"/>
      <c r="BH105" s="2"/>
      <c r="BI105" s="2"/>
      <c r="BJ105" s="2">
        <v>0</v>
      </c>
      <c r="BK105" s="2"/>
      <c r="BL105" s="2"/>
      <c r="BM105" s="2"/>
      <c r="BN105" s="2">
        <v>0</v>
      </c>
      <c r="BO105" s="2"/>
      <c r="BP105" s="36"/>
      <c r="BQ105" s="2"/>
      <c r="BR105" s="64"/>
      <c r="BS105" s="2"/>
      <c r="BT105" s="2"/>
      <c r="BU105" s="2"/>
      <c r="BV105" s="2">
        <v>0</v>
      </c>
      <c r="BW105" s="2"/>
      <c r="BX105" s="36"/>
      <c r="BY105" s="36"/>
      <c r="BZ105" s="64"/>
    </row>
    <row r="106" spans="1:86" s="19" customFormat="1" ht="12" hidden="1">
      <c r="A106" s="19" t="s">
        <v>187</v>
      </c>
      <c r="C106" s="2" t="s">
        <v>275</v>
      </c>
      <c r="E106" s="19">
        <v>124297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19" t="s">
        <v>187</v>
      </c>
      <c r="AE106" s="2" t="s">
        <v>275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>
        <v>0</v>
      </c>
      <c r="BB106" s="2"/>
      <c r="BC106" s="36">
        <f t="shared" si="4"/>
        <v>0</v>
      </c>
      <c r="BD106" s="19" t="s">
        <v>187</v>
      </c>
      <c r="BF106" s="2" t="s">
        <v>275</v>
      </c>
      <c r="BG106" s="2"/>
      <c r="BH106" s="2"/>
      <c r="BI106" s="2"/>
      <c r="BJ106" s="2">
        <v>0</v>
      </c>
      <c r="BK106" s="2"/>
      <c r="BL106" s="2"/>
      <c r="BM106" s="2"/>
      <c r="BN106" s="2">
        <v>0</v>
      </c>
      <c r="BO106" s="2"/>
      <c r="BP106" s="36">
        <f t="shared" si="3"/>
        <v>0</v>
      </c>
      <c r="BQ106" s="2"/>
      <c r="BR106" s="64">
        <f>GovRev!AX107-BP106</f>
        <v>0</v>
      </c>
      <c r="BS106" s="2"/>
      <c r="BT106" s="2"/>
      <c r="BU106" s="2"/>
      <c r="BV106" s="13"/>
      <c r="BW106" s="2"/>
      <c r="BX106" s="36">
        <f t="shared" si="5"/>
        <v>0</v>
      </c>
      <c r="BY106" s="36"/>
      <c r="BZ106" s="64">
        <f>-BX106+GovBS!AC106</f>
        <v>0</v>
      </c>
    </row>
    <row r="107" spans="1:86" s="19" customFormat="1" ht="12" hidden="1">
      <c r="A107" s="19" t="s">
        <v>356</v>
      </c>
      <c r="C107" s="2" t="s">
        <v>363</v>
      </c>
      <c r="E107" s="19">
        <v>123521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19" t="s">
        <v>235</v>
      </c>
      <c r="AE107" s="19" t="s">
        <v>236</v>
      </c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>
        <v>0</v>
      </c>
      <c r="BB107" s="2"/>
      <c r="BC107" s="36">
        <f t="shared" si="4"/>
        <v>0</v>
      </c>
      <c r="BD107" s="19" t="s">
        <v>235</v>
      </c>
      <c r="BF107" s="19" t="s">
        <v>236</v>
      </c>
      <c r="BG107" s="2"/>
      <c r="BH107" s="2"/>
      <c r="BI107" s="2"/>
      <c r="BJ107" s="2">
        <v>0</v>
      </c>
      <c r="BK107" s="2"/>
      <c r="BL107" s="2"/>
      <c r="BM107" s="2"/>
      <c r="BN107" s="2">
        <v>0</v>
      </c>
      <c r="BO107" s="2"/>
      <c r="BP107" s="36">
        <f t="shared" si="3"/>
        <v>0</v>
      </c>
      <c r="BQ107" s="2"/>
      <c r="BR107" s="64">
        <f>GovRev!AX108-BP107</f>
        <v>0</v>
      </c>
      <c r="BS107" s="2"/>
      <c r="BT107" s="2"/>
      <c r="BU107" s="2"/>
      <c r="BV107" s="2">
        <v>0</v>
      </c>
      <c r="BW107" s="2"/>
      <c r="BX107" s="36">
        <f t="shared" si="5"/>
        <v>0</v>
      </c>
      <c r="BY107" s="36"/>
      <c r="BZ107" s="64">
        <f>-BX107+GovBS!AC107</f>
        <v>0</v>
      </c>
    </row>
    <row r="108" spans="1:86" s="19" customFormat="1" ht="12">
      <c r="A108" s="19" t="s">
        <v>225</v>
      </c>
      <c r="C108" s="19" t="s">
        <v>226</v>
      </c>
      <c r="E108" s="19">
        <v>125674</v>
      </c>
      <c r="G108" s="2">
        <v>959231</v>
      </c>
      <c r="H108" s="2"/>
      <c r="I108" s="2">
        <v>814836</v>
      </c>
      <c r="J108" s="2"/>
      <c r="K108" s="2">
        <v>0</v>
      </c>
      <c r="L108" s="2"/>
      <c r="M108" s="2">
        <f>36761+38039</f>
        <v>74800</v>
      </c>
      <c r="N108" s="2"/>
      <c r="O108" s="2">
        <v>980868</v>
      </c>
      <c r="P108" s="2"/>
      <c r="Q108" s="2">
        <v>2084374</v>
      </c>
      <c r="R108" s="2"/>
      <c r="S108" s="2">
        <v>46642</v>
      </c>
      <c r="T108" s="2"/>
      <c r="U108" s="2">
        <v>857718</v>
      </c>
      <c r="V108" s="2"/>
      <c r="W108" s="2">
        <v>207897</v>
      </c>
      <c r="X108" s="2"/>
      <c r="Y108" s="2">
        <v>0</v>
      </c>
      <c r="Z108" s="2"/>
      <c r="AA108" s="2">
        <v>203458</v>
      </c>
      <c r="AB108" s="2"/>
      <c r="AC108" s="19" t="s">
        <v>225</v>
      </c>
      <c r="AE108" s="19" t="s">
        <v>226</v>
      </c>
      <c r="AF108" s="2"/>
      <c r="AG108" s="2">
        <v>15401</v>
      </c>
      <c r="AH108" s="2"/>
      <c r="AI108" s="2">
        <v>181601</v>
      </c>
      <c r="AJ108" s="2"/>
      <c r="AK108" s="2"/>
      <c r="AL108" s="2"/>
      <c r="AM108" s="2">
        <v>0</v>
      </c>
      <c r="AN108" s="2"/>
      <c r="AO108" s="2">
        <v>22684</v>
      </c>
      <c r="AP108" s="2"/>
      <c r="AQ108" s="2">
        <v>2660</v>
      </c>
      <c r="AR108" s="2"/>
      <c r="AS108" s="2">
        <v>4395</v>
      </c>
      <c r="AT108" s="2"/>
      <c r="AU108" s="2">
        <v>0</v>
      </c>
      <c r="AV108" s="2"/>
      <c r="AW108" s="2">
        <v>11246</v>
      </c>
      <c r="AX108" s="2"/>
      <c r="AY108" s="2">
        <v>4797</v>
      </c>
      <c r="AZ108" s="2"/>
      <c r="BA108" s="2">
        <v>0</v>
      </c>
      <c r="BB108" s="2"/>
      <c r="BC108" s="36">
        <f t="shared" si="4"/>
        <v>6472608</v>
      </c>
      <c r="BD108" s="19" t="s">
        <v>225</v>
      </c>
      <c r="BF108" s="19" t="s">
        <v>226</v>
      </c>
      <c r="BG108" s="2"/>
      <c r="BH108" s="2">
        <v>0</v>
      </c>
      <c r="BI108" s="2"/>
      <c r="BJ108" s="2">
        <v>0</v>
      </c>
      <c r="BK108" s="2"/>
      <c r="BL108" s="2"/>
      <c r="BM108" s="2"/>
      <c r="BN108" s="2">
        <v>0</v>
      </c>
      <c r="BO108" s="2"/>
      <c r="BP108" s="36">
        <f t="shared" si="3"/>
        <v>6472608</v>
      </c>
      <c r="BQ108" s="2"/>
      <c r="BR108" s="64">
        <f>GovRev!AX109-BP108</f>
        <v>-247852</v>
      </c>
      <c r="BS108" s="2"/>
      <c r="BT108" s="2">
        <v>-54461</v>
      </c>
      <c r="BU108" s="2"/>
      <c r="BV108" s="2">
        <v>0</v>
      </c>
      <c r="BW108" s="2"/>
      <c r="BX108" s="36">
        <f t="shared" si="5"/>
        <v>-302313</v>
      </c>
      <c r="BY108" s="36"/>
      <c r="BZ108" s="64">
        <f>-BX108+GovBS!AC108</f>
        <v>0</v>
      </c>
      <c r="CB108" s="13"/>
    </row>
    <row r="109" spans="1:86" s="19" customFormat="1" ht="12">
      <c r="A109" s="19" t="s">
        <v>227</v>
      </c>
      <c r="C109" s="19" t="s">
        <v>228</v>
      </c>
      <c r="E109" s="19">
        <v>49072</v>
      </c>
      <c r="G109" s="2">
        <v>273766</v>
      </c>
      <c r="H109" s="2"/>
      <c r="I109" s="2">
        <v>147430</v>
      </c>
      <c r="J109" s="2"/>
      <c r="K109" s="2">
        <v>46269</v>
      </c>
      <c r="L109" s="2"/>
      <c r="M109" s="2">
        <v>78512</v>
      </c>
      <c r="N109" s="2"/>
      <c r="O109" s="2">
        <v>1667456</v>
      </c>
      <c r="P109" s="2"/>
      <c r="Q109" s="2">
        <v>599394</v>
      </c>
      <c r="R109" s="2"/>
      <c r="S109" s="2">
        <v>38905</v>
      </c>
      <c r="T109" s="2"/>
      <c r="U109" s="2">
        <v>275147</v>
      </c>
      <c r="V109" s="2"/>
      <c r="W109" s="2">
        <v>127866</v>
      </c>
      <c r="X109" s="2"/>
      <c r="Y109" s="2">
        <v>38155</v>
      </c>
      <c r="Z109" s="2"/>
      <c r="AA109" s="2">
        <v>73818</v>
      </c>
      <c r="AB109" s="2"/>
      <c r="AC109" s="19" t="s">
        <v>227</v>
      </c>
      <c r="AE109" s="19" t="s">
        <v>228</v>
      </c>
      <c r="AF109" s="2"/>
      <c r="AG109" s="2">
        <v>1163</v>
      </c>
      <c r="AH109" s="2"/>
      <c r="AI109" s="2">
        <v>156764</v>
      </c>
      <c r="AJ109" s="2"/>
      <c r="AK109" s="2"/>
      <c r="AL109" s="2"/>
      <c r="AM109" s="2">
        <v>0</v>
      </c>
      <c r="AN109" s="2"/>
      <c r="AO109" s="2">
        <v>0</v>
      </c>
      <c r="AP109" s="2"/>
      <c r="AQ109" s="2">
        <v>0</v>
      </c>
      <c r="AR109" s="2"/>
      <c r="AS109" s="2">
        <v>0</v>
      </c>
      <c r="AT109" s="2"/>
      <c r="AU109" s="2">
        <v>0</v>
      </c>
      <c r="AV109" s="2"/>
      <c r="AW109" s="2">
        <v>0</v>
      </c>
      <c r="AX109" s="2"/>
      <c r="AY109" s="2">
        <v>0</v>
      </c>
      <c r="AZ109" s="2"/>
      <c r="BA109" s="2">
        <v>0</v>
      </c>
      <c r="BB109" s="2"/>
      <c r="BC109" s="36">
        <f t="shared" si="4"/>
        <v>3524645</v>
      </c>
      <c r="BD109" s="19" t="s">
        <v>227</v>
      </c>
      <c r="BF109" s="19" t="s">
        <v>228</v>
      </c>
      <c r="BG109" s="2"/>
      <c r="BH109" s="2">
        <v>0</v>
      </c>
      <c r="BI109" s="2"/>
      <c r="BJ109" s="2">
        <v>0</v>
      </c>
      <c r="BK109" s="2"/>
      <c r="BL109" s="2"/>
      <c r="BM109" s="2"/>
      <c r="BN109" s="2">
        <v>0</v>
      </c>
      <c r="BO109" s="2"/>
      <c r="BP109" s="36">
        <f t="shared" ref="BP109:BP126" si="6">+BC109+BH109+BJ109+BN109+BL109</f>
        <v>3524645</v>
      </c>
      <c r="BQ109" s="2"/>
      <c r="BR109" s="64">
        <f>GovRev!AX110-BP109</f>
        <v>131150</v>
      </c>
      <c r="BS109" s="2"/>
      <c r="BT109" s="2">
        <v>443073</v>
      </c>
      <c r="BU109" s="2"/>
      <c r="BV109" s="2">
        <v>0</v>
      </c>
      <c r="BW109" s="2"/>
      <c r="BX109" s="36">
        <f t="shared" si="5"/>
        <v>574223</v>
      </c>
      <c r="BY109" s="36"/>
      <c r="BZ109" s="64">
        <f>-BX109+GovBS!AC109</f>
        <v>0</v>
      </c>
    </row>
    <row r="110" spans="1:86" s="19" customFormat="1" ht="12">
      <c r="A110" s="19" t="s">
        <v>229</v>
      </c>
      <c r="C110" s="19" t="s">
        <v>230</v>
      </c>
      <c r="E110" s="19">
        <v>49163</v>
      </c>
      <c r="G110" s="2">
        <v>110048</v>
      </c>
      <c r="H110" s="2"/>
      <c r="I110" s="2">
        <v>3944291</v>
      </c>
      <c r="J110" s="2"/>
      <c r="K110" s="2">
        <v>0</v>
      </c>
      <c r="L110" s="2"/>
      <c r="M110" s="2">
        <v>0</v>
      </c>
      <c r="N110" s="2"/>
      <c r="O110" s="2">
        <v>1122197</v>
      </c>
      <c r="P110" s="2"/>
      <c r="Q110" s="2">
        <v>2335141</v>
      </c>
      <c r="R110" s="2"/>
      <c r="S110" s="2">
        <v>80076</v>
      </c>
      <c r="T110" s="2"/>
      <c r="U110" s="2">
        <v>656055</v>
      </c>
      <c r="V110" s="2"/>
      <c r="W110" s="2">
        <v>256274</v>
      </c>
      <c r="X110" s="2"/>
      <c r="Y110" s="2">
        <v>86709</v>
      </c>
      <c r="Z110" s="2"/>
      <c r="AA110" s="2">
        <v>73810</v>
      </c>
      <c r="AB110" s="2"/>
      <c r="AC110" s="19" t="s">
        <v>229</v>
      </c>
      <c r="AE110" s="19" t="s">
        <v>230</v>
      </c>
      <c r="AF110" s="2"/>
      <c r="AG110" s="2">
        <v>11848</v>
      </c>
      <c r="AH110" s="2"/>
      <c r="AI110" s="2">
        <v>205</v>
      </c>
      <c r="AJ110" s="2"/>
      <c r="AK110" s="2"/>
      <c r="AL110" s="2"/>
      <c r="AM110" s="2">
        <v>93752</v>
      </c>
      <c r="AN110" s="2"/>
      <c r="AO110" s="2">
        <v>0</v>
      </c>
      <c r="AP110" s="2"/>
      <c r="AQ110" s="2">
        <v>9318</v>
      </c>
      <c r="AR110" s="2"/>
      <c r="AS110" s="2">
        <v>0</v>
      </c>
      <c r="AT110" s="2"/>
      <c r="AU110" s="2">
        <v>0</v>
      </c>
      <c r="AV110" s="2"/>
      <c r="AW110" s="2">
        <v>9800</v>
      </c>
      <c r="AX110" s="2"/>
      <c r="AY110" s="2">
        <v>1250</v>
      </c>
      <c r="AZ110" s="2"/>
      <c r="BA110" s="2">
        <v>0</v>
      </c>
      <c r="BB110" s="2"/>
      <c r="BC110" s="36">
        <f t="shared" si="4"/>
        <v>8790774</v>
      </c>
      <c r="BD110" s="19" t="s">
        <v>229</v>
      </c>
      <c r="BF110" s="19" t="s">
        <v>230</v>
      </c>
      <c r="BG110" s="2"/>
      <c r="BH110" s="2">
        <v>0</v>
      </c>
      <c r="BI110" s="2"/>
      <c r="BJ110" s="2">
        <v>0</v>
      </c>
      <c r="BK110" s="2"/>
      <c r="BL110" s="2"/>
      <c r="BM110" s="2"/>
      <c r="BN110" s="2">
        <v>0</v>
      </c>
      <c r="BO110" s="2"/>
      <c r="BP110" s="36">
        <f t="shared" si="6"/>
        <v>8790774</v>
      </c>
      <c r="BQ110" s="2"/>
      <c r="BR110" s="64">
        <f>GovRev!AX111-BP110</f>
        <v>197999</v>
      </c>
      <c r="BS110" s="2"/>
      <c r="BT110" s="2">
        <v>161823</v>
      </c>
      <c r="BU110" s="2"/>
      <c r="BV110" s="13">
        <v>0</v>
      </c>
      <c r="BW110" s="2"/>
      <c r="BX110" s="36">
        <f t="shared" si="5"/>
        <v>359822</v>
      </c>
      <c r="BY110" s="36"/>
      <c r="BZ110" s="64">
        <f>-BX110+GovBS!AC110</f>
        <v>0</v>
      </c>
    </row>
    <row r="111" spans="1:86" s="19" customFormat="1" ht="12" hidden="1">
      <c r="A111" s="19" t="s">
        <v>421</v>
      </c>
      <c r="C111" s="19" t="s">
        <v>232</v>
      </c>
      <c r="E111" s="19">
        <v>49254</v>
      </c>
      <c r="G111" s="2">
        <v>453148</v>
      </c>
      <c r="H111" s="2"/>
      <c r="I111" s="2">
        <v>1107161</v>
      </c>
      <c r="J111" s="2"/>
      <c r="K111" s="2"/>
      <c r="L111" s="2"/>
      <c r="M111" s="2"/>
      <c r="N111" s="2"/>
      <c r="O111" s="2">
        <v>1080241</v>
      </c>
      <c r="P111" s="2"/>
      <c r="Q111" s="2">
        <v>1111124</v>
      </c>
      <c r="R111" s="2"/>
      <c r="S111" s="2">
        <v>25246</v>
      </c>
      <c r="T111" s="2"/>
      <c r="U111" s="2">
        <v>397502</v>
      </c>
      <c r="V111" s="2"/>
      <c r="W111" s="2">
        <v>190095</v>
      </c>
      <c r="X111" s="2"/>
      <c r="Y111" s="2">
        <v>7005</v>
      </c>
      <c r="Z111" s="2"/>
      <c r="AA111" s="2">
        <v>107212</v>
      </c>
      <c r="AB111" s="2"/>
      <c r="AC111" s="19" t="s">
        <v>231</v>
      </c>
      <c r="AE111" s="19" t="s">
        <v>232</v>
      </c>
      <c r="AF111" s="2"/>
      <c r="AG111" s="2">
        <v>597553</v>
      </c>
      <c r="AH111" s="2"/>
      <c r="AI111" s="2">
        <v>18012</v>
      </c>
      <c r="AJ111" s="2"/>
      <c r="AK111" s="2"/>
      <c r="AL111" s="2"/>
      <c r="AM111" s="2"/>
      <c r="AN111" s="2"/>
      <c r="AO111" s="2">
        <v>6569</v>
      </c>
      <c r="AP111" s="2"/>
      <c r="AQ111" s="2">
        <v>2928</v>
      </c>
      <c r="AR111" s="2"/>
      <c r="AS111" s="2"/>
      <c r="AT111" s="2"/>
      <c r="AU111" s="2"/>
      <c r="AV111" s="2"/>
      <c r="AW111" s="2">
        <v>29000</v>
      </c>
      <c r="AX111" s="2"/>
      <c r="AY111" s="2">
        <v>68284</v>
      </c>
      <c r="AZ111" s="2"/>
      <c r="BA111" s="2">
        <v>0</v>
      </c>
      <c r="BB111" s="2"/>
      <c r="BC111" s="36">
        <f t="shared" si="4"/>
        <v>5201080</v>
      </c>
      <c r="BD111" s="19" t="s">
        <v>231</v>
      </c>
      <c r="BF111" s="19" t="s">
        <v>232</v>
      </c>
      <c r="BG111" s="2"/>
      <c r="BH111" s="2"/>
      <c r="BI111" s="2"/>
      <c r="BJ111" s="2">
        <v>0</v>
      </c>
      <c r="BK111" s="2"/>
      <c r="BL111" s="2"/>
      <c r="BM111" s="2"/>
      <c r="BN111" s="2">
        <v>0</v>
      </c>
      <c r="BO111" s="2"/>
      <c r="BP111" s="36">
        <f t="shared" si="6"/>
        <v>5201080</v>
      </c>
      <c r="BQ111" s="2"/>
      <c r="BR111" s="64">
        <f>GovRev!AX112-BP111</f>
        <v>-65321</v>
      </c>
      <c r="BS111" s="2"/>
      <c r="BT111" s="2">
        <v>439379</v>
      </c>
      <c r="BU111" s="2"/>
      <c r="BV111" s="2">
        <v>0</v>
      </c>
      <c r="BW111" s="2"/>
      <c r="BX111" s="36">
        <f t="shared" si="5"/>
        <v>374058</v>
      </c>
      <c r="BY111" s="36"/>
      <c r="BZ111" s="64">
        <f>-BX111+GovBS!AC111</f>
        <v>0</v>
      </c>
      <c r="CB111" s="19" t="s">
        <v>373</v>
      </c>
    </row>
    <row r="112" spans="1:86" s="19" customFormat="1" ht="12">
      <c r="A112" s="19" t="s">
        <v>233</v>
      </c>
      <c r="C112" s="19" t="s">
        <v>234</v>
      </c>
      <c r="E112" s="19">
        <v>49304</v>
      </c>
      <c r="G112" s="2">
        <v>384847</v>
      </c>
      <c r="H112" s="2"/>
      <c r="I112" s="2">
        <v>1772931</v>
      </c>
      <c r="J112" s="2"/>
      <c r="K112" s="2">
        <v>28698</v>
      </c>
      <c r="L112" s="2"/>
      <c r="M112" s="2">
        <v>608</v>
      </c>
      <c r="N112" s="2"/>
      <c r="O112" s="2">
        <v>1155982</v>
      </c>
      <c r="P112" s="2"/>
      <c r="Q112" s="2">
        <v>2131549</v>
      </c>
      <c r="R112" s="2"/>
      <c r="S112" s="2">
        <v>27149</v>
      </c>
      <c r="T112" s="2"/>
      <c r="U112" s="2">
        <v>280684</v>
      </c>
      <c r="V112" s="2"/>
      <c r="W112" s="2">
        <v>253581</v>
      </c>
      <c r="X112" s="2"/>
      <c r="Y112" s="2">
        <v>4385</v>
      </c>
      <c r="Z112" s="2"/>
      <c r="AA112" s="2">
        <v>135113</v>
      </c>
      <c r="AB112" s="2"/>
      <c r="AC112" s="19" t="s">
        <v>233</v>
      </c>
      <c r="AE112" s="19" t="s">
        <v>234</v>
      </c>
      <c r="AF112" s="2"/>
      <c r="AG112" s="2">
        <v>67152</v>
      </c>
      <c r="AH112" s="2"/>
      <c r="AI112" s="2">
        <v>47765</v>
      </c>
      <c r="AJ112" s="2"/>
      <c r="AK112" s="2"/>
      <c r="AL112" s="2"/>
      <c r="AM112" s="2">
        <v>0</v>
      </c>
      <c r="AN112" s="2"/>
      <c r="AO112" s="2">
        <v>49574</v>
      </c>
      <c r="AP112" s="2"/>
      <c r="AQ112" s="2">
        <v>0</v>
      </c>
      <c r="AR112" s="2"/>
      <c r="AS112" s="2">
        <v>0</v>
      </c>
      <c r="AT112" s="2"/>
      <c r="AU112" s="2">
        <v>0</v>
      </c>
      <c r="AV112" s="2"/>
      <c r="AW112" s="2">
        <v>45700</v>
      </c>
      <c r="AX112" s="2"/>
      <c r="AY112" s="2">
        <v>32589</v>
      </c>
      <c r="AZ112" s="2"/>
      <c r="BA112" s="2">
        <v>0</v>
      </c>
      <c r="BB112" s="2"/>
      <c r="BC112" s="36">
        <f t="shared" si="4"/>
        <v>6418307</v>
      </c>
      <c r="BD112" s="19" t="s">
        <v>233</v>
      </c>
      <c r="BF112" s="19" t="s">
        <v>234</v>
      </c>
      <c r="BG112" s="2"/>
      <c r="BH112" s="2">
        <v>0</v>
      </c>
      <c r="BI112" s="2"/>
      <c r="BJ112" s="2">
        <v>0</v>
      </c>
      <c r="BK112" s="2"/>
      <c r="BL112" s="2"/>
      <c r="BM112" s="2"/>
      <c r="BN112" s="2">
        <v>0</v>
      </c>
      <c r="BO112" s="2"/>
      <c r="BP112" s="36">
        <f t="shared" si="6"/>
        <v>6418307</v>
      </c>
      <c r="BQ112" s="2"/>
      <c r="BR112" s="64">
        <f>GovRev!AX113-BP112</f>
        <v>-316557</v>
      </c>
      <c r="BS112" s="2"/>
      <c r="BT112" s="2">
        <v>1143515</v>
      </c>
      <c r="BU112" s="2"/>
      <c r="BV112" s="2">
        <v>0</v>
      </c>
      <c r="BW112" s="2"/>
      <c r="BX112" s="36">
        <f t="shared" si="5"/>
        <v>826958</v>
      </c>
      <c r="BY112" s="36"/>
      <c r="BZ112" s="64">
        <f>-BX112+GovBS!AC112</f>
        <v>0</v>
      </c>
    </row>
    <row r="113" spans="1:81" s="19" customFormat="1" ht="12">
      <c r="A113" s="19" t="s">
        <v>237</v>
      </c>
      <c r="C113" s="19" t="s">
        <v>238</v>
      </c>
      <c r="E113" s="19">
        <v>138222</v>
      </c>
      <c r="G113" s="2">
        <v>8092</v>
      </c>
      <c r="H113" s="2"/>
      <c r="I113" s="2">
        <v>3339085</v>
      </c>
      <c r="J113" s="2"/>
      <c r="K113" s="2">
        <v>0</v>
      </c>
      <c r="L113" s="2"/>
      <c r="M113" s="2">
        <v>8409</v>
      </c>
      <c r="N113" s="2"/>
      <c r="O113" s="2">
        <v>1701720</v>
      </c>
      <c r="P113" s="2"/>
      <c r="Q113" s="2">
        <v>3373432</v>
      </c>
      <c r="R113" s="2"/>
      <c r="S113" s="2">
        <v>68455</v>
      </c>
      <c r="T113" s="2"/>
      <c r="U113" s="2">
        <v>843637</v>
      </c>
      <c r="V113" s="2"/>
      <c r="W113" s="2">
        <v>386517</v>
      </c>
      <c r="X113" s="2"/>
      <c r="Y113" s="2">
        <v>0</v>
      </c>
      <c r="Z113" s="2"/>
      <c r="AA113" s="2">
        <v>136496</v>
      </c>
      <c r="AB113" s="2"/>
      <c r="AC113" s="19" t="s">
        <v>237</v>
      </c>
      <c r="AE113" s="19" t="s">
        <v>238</v>
      </c>
      <c r="AF113" s="2"/>
      <c r="AG113" s="2">
        <v>0</v>
      </c>
      <c r="AH113" s="2"/>
      <c r="AI113" s="2">
        <v>91465</v>
      </c>
      <c r="AJ113" s="2"/>
      <c r="AK113" s="2"/>
      <c r="AL113" s="2"/>
      <c r="AM113" s="2">
        <v>0</v>
      </c>
      <c r="AN113" s="2"/>
      <c r="AO113" s="2">
        <v>164844</v>
      </c>
      <c r="AP113" s="2"/>
      <c r="AQ113" s="2">
        <v>3245</v>
      </c>
      <c r="AR113" s="2"/>
      <c r="AS113" s="2">
        <v>0</v>
      </c>
      <c r="AT113" s="2"/>
      <c r="AU113" s="2">
        <v>0</v>
      </c>
      <c r="AV113" s="2"/>
      <c r="AW113" s="2">
        <v>0</v>
      </c>
      <c r="AX113" s="2"/>
      <c r="AY113" s="2">
        <v>0</v>
      </c>
      <c r="AZ113" s="2"/>
      <c r="BA113" s="2">
        <v>0</v>
      </c>
      <c r="BB113" s="2"/>
      <c r="BC113" s="36">
        <f t="shared" si="4"/>
        <v>10125397</v>
      </c>
      <c r="BD113" s="19" t="s">
        <v>237</v>
      </c>
      <c r="BF113" s="19" t="s">
        <v>238</v>
      </c>
      <c r="BG113" s="2"/>
      <c r="BH113" s="2">
        <v>18185</v>
      </c>
      <c r="BI113" s="2"/>
      <c r="BJ113" s="2">
        <v>0</v>
      </c>
      <c r="BK113" s="2"/>
      <c r="BL113" s="2"/>
      <c r="BM113" s="2"/>
      <c r="BN113" s="2">
        <v>0</v>
      </c>
      <c r="BO113" s="2"/>
      <c r="BP113" s="36">
        <f t="shared" si="6"/>
        <v>10143582</v>
      </c>
      <c r="BQ113" s="2"/>
      <c r="BR113" s="64">
        <f>GovRev!AX114-BP113</f>
        <v>-107974</v>
      </c>
      <c r="BS113" s="2"/>
      <c r="BT113" s="2">
        <v>3115541</v>
      </c>
      <c r="BU113" s="2"/>
      <c r="BV113" s="2">
        <v>0</v>
      </c>
      <c r="BW113" s="2"/>
      <c r="BX113" s="36">
        <f t="shared" si="5"/>
        <v>3007567</v>
      </c>
      <c r="BY113" s="36"/>
      <c r="BZ113" s="64">
        <f>-BX113+GovBS!AC113</f>
        <v>0</v>
      </c>
    </row>
    <row r="114" spans="1:81" s="19" customFormat="1" ht="12" hidden="1">
      <c r="A114" s="71" t="s">
        <v>239</v>
      </c>
      <c r="C114" s="19" t="s">
        <v>240</v>
      </c>
      <c r="E114" s="19">
        <v>49551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19" t="s">
        <v>239</v>
      </c>
      <c r="AE114" s="19" t="s">
        <v>240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>
        <v>0</v>
      </c>
      <c r="BB114" s="2"/>
      <c r="BC114" s="36">
        <f t="shared" si="4"/>
        <v>0</v>
      </c>
      <c r="BD114" s="19" t="s">
        <v>239</v>
      </c>
      <c r="BF114" s="19" t="s">
        <v>240</v>
      </c>
      <c r="BG114" s="2"/>
      <c r="BH114" s="2"/>
      <c r="BI114" s="2"/>
      <c r="BJ114" s="2"/>
      <c r="BK114" s="2"/>
      <c r="BL114" s="2"/>
      <c r="BM114" s="2"/>
      <c r="BN114" s="2">
        <v>0</v>
      </c>
      <c r="BO114" s="2"/>
      <c r="BP114" s="36">
        <f t="shared" si="6"/>
        <v>0</v>
      </c>
      <c r="BQ114" s="2"/>
      <c r="BR114" s="64">
        <f>GovRev!AX115-BP114</f>
        <v>0</v>
      </c>
      <c r="BS114" s="2"/>
      <c r="BT114" s="2"/>
      <c r="BU114" s="2"/>
      <c r="BV114" s="13"/>
      <c r="BW114" s="2"/>
      <c r="BX114" s="36">
        <f t="shared" si="5"/>
        <v>0</v>
      </c>
      <c r="BY114" s="36"/>
      <c r="BZ114" s="64">
        <f>-BX114+GovBS!AC114</f>
        <v>0</v>
      </c>
      <c r="CB114" s="17" t="s">
        <v>425</v>
      </c>
    </row>
    <row r="115" spans="1:81" s="19" customFormat="1" ht="12">
      <c r="A115" s="19" t="s">
        <v>245</v>
      </c>
      <c r="C115" s="19" t="s">
        <v>246</v>
      </c>
      <c r="E115" s="19">
        <v>49742</v>
      </c>
      <c r="G115" s="2">
        <v>575432</v>
      </c>
      <c r="H115" s="2"/>
      <c r="I115" s="2">
        <v>1349818</v>
      </c>
      <c r="J115" s="2"/>
      <c r="K115" s="2">
        <v>0</v>
      </c>
      <c r="L115" s="2"/>
      <c r="M115" s="2">
        <v>0</v>
      </c>
      <c r="N115" s="2"/>
      <c r="O115" s="2">
        <v>1240287</v>
      </c>
      <c r="P115" s="2"/>
      <c r="Q115" s="2">
        <v>994626</v>
      </c>
      <c r="R115" s="2"/>
      <c r="S115" s="2">
        <v>24556</v>
      </c>
      <c r="T115" s="2"/>
      <c r="U115" s="2">
        <v>420967</v>
      </c>
      <c r="V115" s="2"/>
      <c r="W115" s="2">
        <v>173570</v>
      </c>
      <c r="X115" s="2"/>
      <c r="Y115" s="2">
        <v>394</v>
      </c>
      <c r="Z115" s="2"/>
      <c r="AA115" s="2">
        <v>6428</v>
      </c>
      <c r="AB115" s="2"/>
      <c r="AC115" s="19" t="s">
        <v>245</v>
      </c>
      <c r="AE115" s="19" t="s">
        <v>246</v>
      </c>
      <c r="AF115" s="2"/>
      <c r="AG115" s="2">
        <v>6561</v>
      </c>
      <c r="AH115" s="2"/>
      <c r="AI115" s="2">
        <v>175250</v>
      </c>
      <c r="AJ115" s="2"/>
      <c r="AK115" s="2"/>
      <c r="AL115" s="2"/>
      <c r="AM115" s="2">
        <v>0</v>
      </c>
      <c r="AN115" s="2"/>
      <c r="AO115" s="2">
        <v>0</v>
      </c>
      <c r="AP115" s="2"/>
      <c r="AQ115" s="2">
        <v>0</v>
      </c>
      <c r="AR115" s="2"/>
      <c r="AS115" s="2">
        <v>0</v>
      </c>
      <c r="AT115" s="2"/>
      <c r="AU115" s="2">
        <v>0</v>
      </c>
      <c r="AV115" s="2"/>
      <c r="AW115" s="2">
        <v>9044</v>
      </c>
      <c r="AX115" s="2"/>
      <c r="AY115" s="2">
        <v>2635</v>
      </c>
      <c r="AZ115" s="2"/>
      <c r="BA115" s="2">
        <v>0</v>
      </c>
      <c r="BB115" s="2"/>
      <c r="BC115" s="36">
        <f t="shared" si="4"/>
        <v>4979568</v>
      </c>
      <c r="BD115" s="19" t="s">
        <v>245</v>
      </c>
      <c r="BF115" s="19" t="s">
        <v>246</v>
      </c>
      <c r="BG115" s="2"/>
      <c r="BH115" s="2">
        <v>0</v>
      </c>
      <c r="BI115" s="2"/>
      <c r="BJ115" s="2">
        <v>25669</v>
      </c>
      <c r="BK115" s="2"/>
      <c r="BL115" s="2"/>
      <c r="BM115" s="2"/>
      <c r="BN115" s="2">
        <v>0</v>
      </c>
      <c r="BO115" s="2"/>
      <c r="BP115" s="36">
        <f t="shared" si="6"/>
        <v>5005237</v>
      </c>
      <c r="BQ115" s="2"/>
      <c r="BR115" s="64">
        <f>GovRev!AX116-BP115</f>
        <v>-119938</v>
      </c>
      <c r="BS115" s="2"/>
      <c r="BT115" s="2">
        <v>758135</v>
      </c>
      <c r="BU115" s="2"/>
      <c r="BV115" s="2">
        <v>0</v>
      </c>
      <c r="BW115" s="2"/>
      <c r="BX115" s="36">
        <f t="shared" si="5"/>
        <v>638197</v>
      </c>
      <c r="BY115" s="36"/>
      <c r="BZ115" s="64">
        <f>-BX115+GovBS!AC115</f>
        <v>0</v>
      </c>
    </row>
    <row r="116" spans="1:81" s="19" customFormat="1" ht="12">
      <c r="A116" s="19" t="s">
        <v>371</v>
      </c>
      <c r="C116" s="19" t="s">
        <v>242</v>
      </c>
      <c r="E116" s="19">
        <v>125658</v>
      </c>
      <c r="G116" s="2">
        <v>683824</v>
      </c>
      <c r="H116" s="2"/>
      <c r="I116" s="2">
        <v>3571632</v>
      </c>
      <c r="J116" s="2"/>
      <c r="K116" s="2">
        <v>0</v>
      </c>
      <c r="L116" s="2"/>
      <c r="M116" s="2">
        <v>52456</v>
      </c>
      <c r="N116" s="2"/>
      <c r="O116" s="2">
        <v>1730980</v>
      </c>
      <c r="P116" s="2"/>
      <c r="Q116" s="2">
        <v>1242147</v>
      </c>
      <c r="R116" s="2"/>
      <c r="S116" s="2">
        <v>33886</v>
      </c>
      <c r="T116" s="2"/>
      <c r="U116" s="2">
        <v>749676</v>
      </c>
      <c r="V116" s="2"/>
      <c r="W116" s="2">
        <v>245575</v>
      </c>
      <c r="X116" s="2"/>
      <c r="Y116" s="2">
        <v>0</v>
      </c>
      <c r="Z116" s="2"/>
      <c r="AA116" s="2">
        <v>132156</v>
      </c>
      <c r="AB116" s="2"/>
      <c r="AC116" s="19" t="s">
        <v>241</v>
      </c>
      <c r="AE116" s="19" t="s">
        <v>242</v>
      </c>
      <c r="AF116" s="2"/>
      <c r="AG116" s="2">
        <v>21698</v>
      </c>
      <c r="AH116" s="2"/>
      <c r="AI116" s="2">
        <v>142681</v>
      </c>
      <c r="AJ116" s="2"/>
      <c r="AK116" s="2"/>
      <c r="AL116" s="2"/>
      <c r="AM116" s="2">
        <v>0</v>
      </c>
      <c r="AN116" s="2"/>
      <c r="AO116" s="2">
        <v>0</v>
      </c>
      <c r="AP116" s="2"/>
      <c r="AQ116" s="2">
        <v>0</v>
      </c>
      <c r="AR116" s="2"/>
      <c r="AS116" s="2">
        <v>0</v>
      </c>
      <c r="AT116" s="2"/>
      <c r="AU116" s="2">
        <v>0</v>
      </c>
      <c r="AV116" s="2"/>
      <c r="AW116" s="2">
        <v>40054</v>
      </c>
      <c r="AX116" s="2"/>
      <c r="AY116" s="2">
        <v>8335</v>
      </c>
      <c r="AZ116" s="2"/>
      <c r="BA116" s="2">
        <v>0</v>
      </c>
      <c r="BB116" s="2"/>
      <c r="BC116" s="36">
        <f t="shared" si="4"/>
        <v>8655100</v>
      </c>
      <c r="BD116" s="19" t="s">
        <v>241</v>
      </c>
      <c r="BF116" s="19" t="s">
        <v>242</v>
      </c>
      <c r="BG116" s="2"/>
      <c r="BH116" s="2">
        <v>231537</v>
      </c>
      <c r="BI116" s="2"/>
      <c r="BJ116" s="2">
        <v>0</v>
      </c>
      <c r="BK116" s="2"/>
      <c r="BL116" s="2"/>
      <c r="BM116" s="2"/>
      <c r="BN116" s="2">
        <v>0</v>
      </c>
      <c r="BO116" s="2"/>
      <c r="BP116" s="36">
        <f t="shared" si="6"/>
        <v>8886637</v>
      </c>
      <c r="BQ116" s="2"/>
      <c r="BR116" s="64">
        <f>GovRev!AX117-BP116</f>
        <v>364528</v>
      </c>
      <c r="BS116" s="2"/>
      <c r="BT116" s="2">
        <v>272803</v>
      </c>
      <c r="BU116" s="2"/>
      <c r="BV116" s="2">
        <v>0</v>
      </c>
      <c r="BW116" s="2"/>
      <c r="BX116" s="36">
        <f t="shared" si="5"/>
        <v>637331</v>
      </c>
      <c r="BY116" s="36"/>
      <c r="BZ116" s="64">
        <f>-BX116+GovBS!AC116</f>
        <v>0</v>
      </c>
    </row>
    <row r="117" spans="1:81" s="19" customFormat="1" ht="12">
      <c r="A117" s="2" t="s">
        <v>370</v>
      </c>
      <c r="B117" s="2"/>
      <c r="C117" s="2" t="s">
        <v>173</v>
      </c>
      <c r="G117" s="2">
        <v>611404</v>
      </c>
      <c r="H117" s="2"/>
      <c r="I117" s="2">
        <v>636201</v>
      </c>
      <c r="J117" s="2"/>
      <c r="K117" s="2">
        <v>0</v>
      </c>
      <c r="L117" s="2"/>
      <c r="M117" s="2">
        <v>0</v>
      </c>
      <c r="N117" s="2"/>
      <c r="O117" s="2">
        <v>399090</v>
      </c>
      <c r="P117" s="2"/>
      <c r="Q117" s="2">
        <v>1261228</v>
      </c>
      <c r="R117" s="2"/>
      <c r="S117" s="2">
        <v>27457</v>
      </c>
      <c r="T117" s="2"/>
      <c r="U117" s="2">
        <v>574338</v>
      </c>
      <c r="V117" s="2"/>
      <c r="W117" s="2">
        <v>258486</v>
      </c>
      <c r="X117" s="2"/>
      <c r="Y117" s="2">
        <v>0</v>
      </c>
      <c r="Z117" s="2"/>
      <c r="AA117" s="2">
        <v>56873</v>
      </c>
      <c r="AB117" s="2"/>
      <c r="AC117" s="2" t="s">
        <v>370</v>
      </c>
      <c r="AD117" s="2"/>
      <c r="AE117" s="2" t="s">
        <v>173</v>
      </c>
      <c r="AF117" s="2"/>
      <c r="AG117" s="2">
        <v>0</v>
      </c>
      <c r="AH117" s="2"/>
      <c r="AI117" s="2">
        <v>402055</v>
      </c>
      <c r="AJ117" s="2"/>
      <c r="AK117" s="2"/>
      <c r="AL117" s="2"/>
      <c r="AM117" s="2">
        <v>0</v>
      </c>
      <c r="AN117" s="2"/>
      <c r="AO117" s="2">
        <v>0</v>
      </c>
      <c r="AP117" s="2"/>
      <c r="AQ117" s="2">
        <v>0</v>
      </c>
      <c r="AR117" s="2"/>
      <c r="AS117" s="2">
        <v>0</v>
      </c>
      <c r="AT117" s="2"/>
      <c r="AU117" s="2">
        <v>0</v>
      </c>
      <c r="AV117" s="2"/>
      <c r="AW117" s="2">
        <v>0</v>
      </c>
      <c r="AX117" s="2"/>
      <c r="AY117" s="2">
        <v>0</v>
      </c>
      <c r="AZ117" s="2"/>
      <c r="BA117" s="2">
        <v>0</v>
      </c>
      <c r="BB117" s="2"/>
      <c r="BC117" s="36">
        <f>SUM(G117:BA117)</f>
        <v>4227132</v>
      </c>
      <c r="BD117" s="2" t="s">
        <v>370</v>
      </c>
      <c r="BE117" s="2"/>
      <c r="BF117" s="2" t="s">
        <v>173</v>
      </c>
      <c r="BG117" s="2"/>
      <c r="BH117" s="2">
        <v>0</v>
      </c>
      <c r="BI117" s="2"/>
      <c r="BJ117" s="2">
        <v>0</v>
      </c>
      <c r="BK117" s="2"/>
      <c r="BL117" s="2"/>
      <c r="BM117" s="2"/>
      <c r="BN117" s="2">
        <v>0</v>
      </c>
      <c r="BO117" s="2"/>
      <c r="BP117" s="36">
        <f t="shared" si="6"/>
        <v>4227132</v>
      </c>
      <c r="BQ117" s="2"/>
      <c r="BR117" s="64">
        <f>GovRev!AX118-BP117</f>
        <v>-9995</v>
      </c>
      <c r="BS117" s="2"/>
      <c r="BT117" s="2">
        <v>2835195</v>
      </c>
      <c r="BU117" s="2"/>
      <c r="BV117" s="2">
        <v>0</v>
      </c>
      <c r="BW117" s="2"/>
      <c r="BX117" s="36">
        <f t="shared" si="5"/>
        <v>2825200</v>
      </c>
      <c r="BY117" s="36"/>
      <c r="BZ117" s="64">
        <f>-BX117+GovBS!AC117</f>
        <v>0</v>
      </c>
      <c r="CB117" s="80" t="s">
        <v>411</v>
      </c>
    </row>
    <row r="118" spans="1:81" s="19" customFormat="1" ht="12">
      <c r="A118" s="19" t="s">
        <v>435</v>
      </c>
      <c r="C118" s="19" t="s">
        <v>248</v>
      </c>
      <c r="E118" s="19">
        <v>49825</v>
      </c>
      <c r="G118" s="2">
        <v>434343</v>
      </c>
      <c r="H118" s="2"/>
      <c r="I118" s="2">
        <v>6159182</v>
      </c>
      <c r="J118" s="2"/>
      <c r="K118" s="2">
        <v>0</v>
      </c>
      <c r="L118" s="2"/>
      <c r="M118" s="2">
        <v>15731</v>
      </c>
      <c r="N118" s="2"/>
      <c r="O118" s="2">
        <v>1154704</v>
      </c>
      <c r="P118" s="2"/>
      <c r="Q118" s="2">
        <v>7066474</v>
      </c>
      <c r="R118" s="2"/>
      <c r="S118" s="2">
        <v>15137</v>
      </c>
      <c r="T118" s="2"/>
      <c r="U118" s="2">
        <v>2811532</v>
      </c>
      <c r="V118" s="2"/>
      <c r="W118" s="2">
        <v>554678</v>
      </c>
      <c r="X118" s="2"/>
      <c r="Y118" s="2">
        <v>1095620</v>
      </c>
      <c r="Z118" s="2"/>
      <c r="AA118" s="2">
        <v>253720</v>
      </c>
      <c r="AB118" s="2"/>
      <c r="AC118" s="19" t="s">
        <v>247</v>
      </c>
      <c r="AE118" s="19" t="s">
        <v>248</v>
      </c>
      <c r="AF118" s="2"/>
      <c r="AG118" s="2">
        <v>12467</v>
      </c>
      <c r="AH118" s="2"/>
      <c r="AI118" s="2">
        <v>46913</v>
      </c>
      <c r="AJ118" s="2"/>
      <c r="AK118" s="2"/>
      <c r="AL118" s="2"/>
      <c r="AM118" s="2">
        <v>39166</v>
      </c>
      <c r="AN118" s="2"/>
      <c r="AO118" s="2">
        <v>0</v>
      </c>
      <c r="AP118" s="2"/>
      <c r="AQ118" s="2">
        <v>22099</v>
      </c>
      <c r="AR118" s="2"/>
      <c r="AS118" s="2">
        <v>0</v>
      </c>
      <c r="AT118" s="2"/>
      <c r="AU118" s="2">
        <v>0</v>
      </c>
      <c r="AV118" s="2"/>
      <c r="AW118" s="2">
        <v>0</v>
      </c>
      <c r="AX118" s="2"/>
      <c r="AY118" s="2">
        <v>0</v>
      </c>
      <c r="AZ118" s="2"/>
      <c r="BA118" s="2">
        <v>0</v>
      </c>
      <c r="BB118" s="2"/>
      <c r="BC118" s="36">
        <f t="shared" si="4"/>
        <v>19681766</v>
      </c>
      <c r="BD118" s="19" t="s">
        <v>247</v>
      </c>
      <c r="BF118" s="19" t="s">
        <v>248</v>
      </c>
      <c r="BG118" s="2"/>
      <c r="BH118" s="2">
        <v>0</v>
      </c>
      <c r="BI118" s="2"/>
      <c r="BJ118" s="2">
        <v>0</v>
      </c>
      <c r="BK118" s="2"/>
      <c r="BL118" s="2"/>
      <c r="BM118" s="2"/>
      <c r="BN118" s="2">
        <v>0</v>
      </c>
      <c r="BO118" s="2"/>
      <c r="BP118" s="36">
        <f t="shared" si="6"/>
        <v>19681766</v>
      </c>
      <c r="BQ118" s="2"/>
      <c r="BR118" s="64">
        <f>GovRev!AX119-BP118</f>
        <v>-70424</v>
      </c>
      <c r="BS118" s="2"/>
      <c r="BT118" s="2">
        <v>553702</v>
      </c>
      <c r="BU118" s="2"/>
      <c r="BV118" s="13">
        <v>0</v>
      </c>
      <c r="BW118" s="2"/>
      <c r="BX118" s="36">
        <f t="shared" si="5"/>
        <v>483278</v>
      </c>
      <c r="BY118" s="36"/>
      <c r="BZ118" s="64">
        <f>-BX118+GovBS!AC118</f>
        <v>0</v>
      </c>
      <c r="CB118" s="100" t="s">
        <v>424</v>
      </c>
    </row>
    <row r="119" spans="1:81" s="19" customFormat="1" ht="12">
      <c r="A119" s="19" t="s">
        <v>249</v>
      </c>
      <c r="C119" s="19" t="s">
        <v>250</v>
      </c>
      <c r="E119" s="19">
        <v>49965</v>
      </c>
      <c r="G119" s="2">
        <v>605374</v>
      </c>
      <c r="H119" s="2"/>
      <c r="I119" s="2">
        <v>3356855</v>
      </c>
      <c r="J119" s="2"/>
      <c r="K119" s="2">
        <v>65496</v>
      </c>
      <c r="L119" s="2"/>
      <c r="M119" s="2">
        <v>1550</v>
      </c>
      <c r="N119" s="2"/>
      <c r="O119" s="2">
        <v>2912098</v>
      </c>
      <c r="P119" s="2"/>
      <c r="Q119" s="2">
        <v>4668901</v>
      </c>
      <c r="R119" s="2"/>
      <c r="S119" s="2">
        <v>60635</v>
      </c>
      <c r="T119" s="2"/>
      <c r="U119" s="2">
        <v>1215504</v>
      </c>
      <c r="V119" s="2"/>
      <c r="W119" s="2">
        <v>329721</v>
      </c>
      <c r="X119" s="2"/>
      <c r="Y119" s="2">
        <v>39721</v>
      </c>
      <c r="Z119" s="2"/>
      <c r="AA119" s="2">
        <v>382724</v>
      </c>
      <c r="AB119" s="2"/>
      <c r="AC119" s="19" t="s">
        <v>249</v>
      </c>
      <c r="AE119" s="19" t="s">
        <v>250</v>
      </c>
      <c r="AF119" s="2"/>
      <c r="AG119" s="2">
        <v>0</v>
      </c>
      <c r="AH119" s="2"/>
      <c r="AI119" s="2">
        <v>256179</v>
      </c>
      <c r="AJ119" s="2"/>
      <c r="AK119" s="2"/>
      <c r="AL119" s="2"/>
      <c r="AM119" s="2">
        <v>0</v>
      </c>
      <c r="AN119" s="2"/>
      <c r="AO119" s="2">
        <v>0</v>
      </c>
      <c r="AP119" s="2"/>
      <c r="AQ119" s="2">
        <v>43959</v>
      </c>
      <c r="AR119" s="2"/>
      <c r="AS119" s="2">
        <v>1230858</v>
      </c>
      <c r="AT119" s="2"/>
      <c r="AU119" s="2">
        <v>0</v>
      </c>
      <c r="AV119" s="2"/>
      <c r="AW119" s="2">
        <v>71995</v>
      </c>
      <c r="AX119" s="2"/>
      <c r="AY119" s="2">
        <v>49229</v>
      </c>
      <c r="AZ119" s="2"/>
      <c r="BA119" s="2">
        <v>0</v>
      </c>
      <c r="BB119" s="2"/>
      <c r="BC119" s="36">
        <f t="shared" si="4"/>
        <v>15290799</v>
      </c>
      <c r="BD119" s="19" t="s">
        <v>249</v>
      </c>
      <c r="BF119" s="19" t="s">
        <v>250</v>
      </c>
      <c r="BG119" s="2"/>
      <c r="BH119" s="2">
        <v>0</v>
      </c>
      <c r="BI119" s="2"/>
      <c r="BJ119" s="2">
        <v>0</v>
      </c>
      <c r="BK119" s="2"/>
      <c r="BL119" s="2"/>
      <c r="BM119" s="2"/>
      <c r="BN119" s="2">
        <v>0</v>
      </c>
      <c r="BO119" s="2"/>
      <c r="BP119" s="36">
        <f t="shared" si="6"/>
        <v>15290799</v>
      </c>
      <c r="BQ119" s="2"/>
      <c r="BR119" s="64">
        <f>GovRev!AX120-BP119</f>
        <v>-1521590</v>
      </c>
      <c r="BS119" s="2"/>
      <c r="BT119" s="2">
        <v>7038223</v>
      </c>
      <c r="BU119" s="2"/>
      <c r="BV119" s="2">
        <v>0</v>
      </c>
      <c r="BW119" s="2"/>
      <c r="BX119" s="36">
        <f t="shared" si="5"/>
        <v>5516633</v>
      </c>
      <c r="BY119" s="36"/>
      <c r="BZ119" s="64">
        <f>-BX119+GovBS!AC119</f>
        <v>0</v>
      </c>
    </row>
    <row r="120" spans="1:81" s="60" customFormat="1" ht="12">
      <c r="A120" s="60" t="s">
        <v>261</v>
      </c>
      <c r="C120" s="60" t="s">
        <v>262</v>
      </c>
      <c r="E120" s="60">
        <v>50526</v>
      </c>
      <c r="G120" s="2">
        <v>1135993</v>
      </c>
      <c r="H120" s="2"/>
      <c r="I120" s="2">
        <v>1437846</v>
      </c>
      <c r="J120" s="2"/>
      <c r="K120" s="2">
        <v>62701</v>
      </c>
      <c r="L120" s="2"/>
      <c r="M120" s="2">
        <v>0</v>
      </c>
      <c r="N120" s="2"/>
      <c r="O120" s="2">
        <v>2828922</v>
      </c>
      <c r="P120" s="2"/>
      <c r="Q120" s="2">
        <v>2883815</v>
      </c>
      <c r="R120" s="2"/>
      <c r="S120" s="2">
        <v>43337</v>
      </c>
      <c r="T120" s="2"/>
      <c r="U120" s="2">
        <v>455765</v>
      </c>
      <c r="V120" s="2"/>
      <c r="W120" s="2">
        <v>337590</v>
      </c>
      <c r="X120" s="2"/>
      <c r="Y120" s="2">
        <v>167666</v>
      </c>
      <c r="Z120" s="2"/>
      <c r="AA120" s="2">
        <v>183043</v>
      </c>
      <c r="AB120" s="2"/>
      <c r="AC120" s="60" t="s">
        <v>261</v>
      </c>
      <c r="AE120" s="60" t="s">
        <v>262</v>
      </c>
      <c r="AF120" s="13"/>
      <c r="AG120" s="2">
        <v>2117</v>
      </c>
      <c r="AH120" s="2"/>
      <c r="AI120" s="2">
        <v>1360920</v>
      </c>
      <c r="AJ120" s="2"/>
      <c r="AK120" s="2"/>
      <c r="AL120" s="13"/>
      <c r="AM120" s="2">
        <v>0</v>
      </c>
      <c r="AN120" s="2"/>
      <c r="AO120" s="2">
        <v>3706844</v>
      </c>
      <c r="AP120" s="2"/>
      <c r="AQ120" s="2">
        <v>0</v>
      </c>
      <c r="AR120" s="2"/>
      <c r="AS120" s="2">
        <v>0</v>
      </c>
      <c r="AT120" s="2"/>
      <c r="AU120" s="2">
        <v>0</v>
      </c>
      <c r="AV120" s="2"/>
      <c r="AW120" s="2">
        <v>0</v>
      </c>
      <c r="AX120" s="2"/>
      <c r="AY120" s="2">
        <v>0</v>
      </c>
      <c r="AZ120" s="2"/>
      <c r="BA120" s="2">
        <v>0</v>
      </c>
      <c r="BB120" s="2"/>
      <c r="BC120" s="36">
        <f t="shared" si="4"/>
        <v>14606559</v>
      </c>
      <c r="BD120" s="60" t="s">
        <v>261</v>
      </c>
      <c r="BF120" s="60" t="s">
        <v>262</v>
      </c>
      <c r="BG120" s="2"/>
      <c r="BH120" s="2">
        <v>0</v>
      </c>
      <c r="BI120" s="2"/>
      <c r="BJ120" s="2">
        <v>0</v>
      </c>
      <c r="BK120" s="2"/>
      <c r="BL120" s="2"/>
      <c r="BM120" s="2"/>
      <c r="BN120" s="2">
        <v>0</v>
      </c>
      <c r="BO120" s="2"/>
      <c r="BP120" s="36">
        <f t="shared" si="6"/>
        <v>14606559</v>
      </c>
      <c r="BQ120" s="2"/>
      <c r="BR120" s="64">
        <f>GovRev!AX121-BP120</f>
        <v>-299688</v>
      </c>
      <c r="BS120" s="2"/>
      <c r="BT120" s="2">
        <v>2083499</v>
      </c>
      <c r="BU120" s="2"/>
      <c r="BV120" s="2">
        <v>0</v>
      </c>
      <c r="BW120" s="2"/>
      <c r="BX120" s="36">
        <f t="shared" si="5"/>
        <v>1783811</v>
      </c>
      <c r="BY120" s="36"/>
      <c r="BZ120" s="64">
        <f>-BX120+GovBS!AC120</f>
        <v>0</v>
      </c>
    </row>
    <row r="121" spans="1:81" s="19" customFormat="1" ht="12">
      <c r="A121" s="19" t="s">
        <v>251</v>
      </c>
      <c r="C121" s="19" t="s">
        <v>252</v>
      </c>
      <c r="E121" s="19">
        <v>50088</v>
      </c>
      <c r="G121" s="2">
        <v>638828</v>
      </c>
      <c r="H121" s="2"/>
      <c r="I121" s="2">
        <v>5897764</v>
      </c>
      <c r="J121" s="2"/>
      <c r="K121" s="2">
        <v>0</v>
      </c>
      <c r="L121" s="2"/>
      <c r="M121" s="2">
        <v>0</v>
      </c>
      <c r="N121" s="2"/>
      <c r="O121" s="2">
        <v>4026383</v>
      </c>
      <c r="P121" s="2"/>
      <c r="Q121" s="2">
        <v>1963421</v>
      </c>
      <c r="R121" s="2"/>
      <c r="S121" s="2">
        <v>101643</v>
      </c>
      <c r="T121" s="2"/>
      <c r="U121" s="2">
        <v>2756426</v>
      </c>
      <c r="V121" s="2"/>
      <c r="W121" s="2">
        <v>311819</v>
      </c>
      <c r="X121" s="2"/>
      <c r="Y121" s="2">
        <v>37469</v>
      </c>
      <c r="Z121" s="2"/>
      <c r="AA121" s="2">
        <v>193396</v>
      </c>
      <c r="AB121" s="2"/>
      <c r="AC121" s="19" t="s">
        <v>251</v>
      </c>
      <c r="AE121" s="19" t="s">
        <v>252</v>
      </c>
      <c r="AF121" s="2"/>
      <c r="AG121" s="2">
        <v>28999</v>
      </c>
      <c r="AH121" s="2"/>
      <c r="AI121" s="2">
        <v>3000</v>
      </c>
      <c r="AJ121" s="2"/>
      <c r="AK121" s="2"/>
      <c r="AL121" s="2"/>
      <c r="AM121" s="2">
        <v>0</v>
      </c>
      <c r="AN121" s="2"/>
      <c r="AO121" s="2">
        <v>198</v>
      </c>
      <c r="AP121" s="2"/>
      <c r="AQ121" s="2">
        <v>0</v>
      </c>
      <c r="AR121" s="2"/>
      <c r="AS121" s="2">
        <v>11716</v>
      </c>
      <c r="AT121" s="2"/>
      <c r="AU121" s="2">
        <v>0</v>
      </c>
      <c r="AV121" s="2"/>
      <c r="AW121" s="2">
        <v>0</v>
      </c>
      <c r="AX121" s="2"/>
      <c r="AY121" s="2">
        <v>0</v>
      </c>
      <c r="AZ121" s="2"/>
      <c r="BA121" s="2">
        <v>0</v>
      </c>
      <c r="BB121" s="2"/>
      <c r="BC121" s="36">
        <f t="shared" si="4"/>
        <v>15971062</v>
      </c>
      <c r="BD121" s="19" t="s">
        <v>251</v>
      </c>
      <c r="BF121" s="19" t="s">
        <v>252</v>
      </c>
      <c r="BG121" s="2"/>
      <c r="BH121" s="2">
        <v>0</v>
      </c>
      <c r="BI121" s="2"/>
      <c r="BJ121" s="2">
        <v>0</v>
      </c>
      <c r="BK121" s="2"/>
      <c r="BL121" s="2"/>
      <c r="BM121" s="2"/>
      <c r="BN121" s="2">
        <v>0</v>
      </c>
      <c r="BO121" s="2"/>
      <c r="BP121" s="36">
        <f t="shared" si="6"/>
        <v>15971062</v>
      </c>
      <c r="BQ121" s="2"/>
      <c r="BR121" s="64">
        <f>GovRev!AX122-BP121</f>
        <v>616344</v>
      </c>
      <c r="BS121" s="2"/>
      <c r="BT121" s="2">
        <v>3572534</v>
      </c>
      <c r="BU121" s="2"/>
      <c r="BV121" s="2">
        <v>0</v>
      </c>
      <c r="BW121" s="2"/>
      <c r="BX121" s="36">
        <f t="shared" si="5"/>
        <v>4188878</v>
      </c>
      <c r="BY121" s="36"/>
      <c r="BZ121" s="64">
        <f>-BX121+GovBS!AC121</f>
        <v>0</v>
      </c>
    </row>
    <row r="122" spans="1:81" s="19" customFormat="1" ht="12">
      <c r="A122" s="2" t="s">
        <v>389</v>
      </c>
      <c r="C122" s="19" t="s">
        <v>254</v>
      </c>
      <c r="E122" s="19">
        <v>50260</v>
      </c>
      <c r="G122" s="2">
        <v>414109</v>
      </c>
      <c r="H122" s="2"/>
      <c r="I122" s="2">
        <v>834208</v>
      </c>
      <c r="J122" s="2"/>
      <c r="K122" s="2">
        <v>10</v>
      </c>
      <c r="L122" s="2"/>
      <c r="M122" s="2">
        <v>34992</v>
      </c>
      <c r="N122" s="2"/>
      <c r="O122" s="2">
        <v>1840641</v>
      </c>
      <c r="P122" s="2"/>
      <c r="Q122" s="2">
        <v>2002507</v>
      </c>
      <c r="R122" s="2"/>
      <c r="S122" s="2">
        <v>19319</v>
      </c>
      <c r="T122" s="2"/>
      <c r="U122" s="2">
        <v>256273</v>
      </c>
      <c r="V122" s="2"/>
      <c r="W122" s="2">
        <v>196724</v>
      </c>
      <c r="X122" s="2"/>
      <c r="Y122" s="2">
        <v>127242</v>
      </c>
      <c r="Z122" s="2"/>
      <c r="AA122" s="2">
        <v>181292</v>
      </c>
      <c r="AB122" s="2"/>
      <c r="AC122" s="19" t="s">
        <v>253</v>
      </c>
      <c r="AE122" s="19" t="s">
        <v>254</v>
      </c>
      <c r="AF122" s="2"/>
      <c r="AG122" s="2">
        <v>10158</v>
      </c>
      <c r="AH122" s="2"/>
      <c r="AI122" s="2">
        <v>228469</v>
      </c>
      <c r="AJ122" s="2"/>
      <c r="AK122" s="2"/>
      <c r="AL122" s="2"/>
      <c r="AM122" s="2">
        <v>0</v>
      </c>
      <c r="AN122" s="2"/>
      <c r="AO122" s="2">
        <v>0</v>
      </c>
      <c r="AP122" s="2"/>
      <c r="AQ122" s="2">
        <v>0</v>
      </c>
      <c r="AR122" s="2"/>
      <c r="AS122" s="2">
        <v>56897</v>
      </c>
      <c r="AT122" s="2"/>
      <c r="AU122" s="2">
        <v>0</v>
      </c>
      <c r="AV122" s="2"/>
      <c r="AW122" s="2">
        <v>48983</v>
      </c>
      <c r="AX122" s="2"/>
      <c r="AY122" s="2">
        <v>17217</v>
      </c>
      <c r="AZ122" s="2"/>
      <c r="BA122" s="2">
        <v>0</v>
      </c>
      <c r="BB122" s="2"/>
      <c r="BC122" s="36">
        <f t="shared" si="4"/>
        <v>6269041</v>
      </c>
      <c r="BD122" s="19" t="s">
        <v>253</v>
      </c>
      <c r="BF122" s="19" t="s">
        <v>254</v>
      </c>
      <c r="BG122" s="2"/>
      <c r="BH122" s="2">
        <v>0</v>
      </c>
      <c r="BI122" s="2"/>
      <c r="BJ122" s="2">
        <v>0</v>
      </c>
      <c r="BK122" s="2"/>
      <c r="BL122" s="2"/>
      <c r="BM122" s="2"/>
      <c r="BN122" s="2">
        <v>0</v>
      </c>
      <c r="BO122" s="2"/>
      <c r="BP122" s="36">
        <f t="shared" si="6"/>
        <v>6269041</v>
      </c>
      <c r="BQ122" s="2"/>
      <c r="BR122" s="64">
        <f>GovRev!AX123-BP122</f>
        <v>181076</v>
      </c>
      <c r="BS122" s="2"/>
      <c r="BT122" s="2">
        <v>640202</v>
      </c>
      <c r="BU122" s="2"/>
      <c r="BV122" s="13">
        <v>0</v>
      </c>
      <c r="BW122" s="2"/>
      <c r="BX122" s="36">
        <f t="shared" si="5"/>
        <v>821278</v>
      </c>
      <c r="BY122" s="36"/>
      <c r="BZ122" s="64">
        <f>-BX122+GovBS!AC122</f>
        <v>0</v>
      </c>
    </row>
    <row r="123" spans="1:81" s="19" customFormat="1" ht="12" hidden="1">
      <c r="A123" s="19" t="s">
        <v>257</v>
      </c>
      <c r="C123" s="19" t="s">
        <v>258</v>
      </c>
      <c r="E123" s="19">
        <v>50401</v>
      </c>
      <c r="G123" s="2">
        <v>877427</v>
      </c>
      <c r="H123" s="2"/>
      <c r="I123" s="2">
        <v>4597678</v>
      </c>
      <c r="J123" s="2"/>
      <c r="K123" s="2"/>
      <c r="L123" s="2"/>
      <c r="M123" s="2">
        <v>20708</v>
      </c>
      <c r="N123" s="2"/>
      <c r="O123" s="2">
        <v>6980594</v>
      </c>
      <c r="P123" s="2"/>
      <c r="Q123" s="2">
        <v>220574</v>
      </c>
      <c r="R123" s="2"/>
      <c r="S123" s="2">
        <v>31271</v>
      </c>
      <c r="T123" s="2"/>
      <c r="U123" s="2">
        <v>1854248</v>
      </c>
      <c r="V123" s="2"/>
      <c r="W123" s="2">
        <v>458693</v>
      </c>
      <c r="X123" s="2"/>
      <c r="Y123" s="2">
        <v>79638</v>
      </c>
      <c r="Z123" s="2"/>
      <c r="AA123" s="2">
        <v>141750</v>
      </c>
      <c r="AB123" s="2"/>
      <c r="AC123" s="19" t="s">
        <v>257</v>
      </c>
      <c r="AE123" s="19" t="s">
        <v>258</v>
      </c>
      <c r="AF123" s="2"/>
      <c r="AG123" s="2">
        <v>185818</v>
      </c>
      <c r="AH123" s="2"/>
      <c r="AI123" s="2">
        <v>353054</v>
      </c>
      <c r="AJ123" s="2"/>
      <c r="AK123" s="2"/>
      <c r="AL123" s="2"/>
      <c r="AM123" s="2"/>
      <c r="AN123" s="2"/>
      <c r="AO123" s="2">
        <v>5601</v>
      </c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>
        <v>0</v>
      </c>
      <c r="BB123" s="2"/>
      <c r="BC123" s="36">
        <f t="shared" si="4"/>
        <v>15807054</v>
      </c>
      <c r="BD123" s="19" t="s">
        <v>257</v>
      </c>
      <c r="BF123" s="19" t="s">
        <v>258</v>
      </c>
      <c r="BG123" s="2"/>
      <c r="BH123" s="2"/>
      <c r="BI123" s="2"/>
      <c r="BJ123" s="2"/>
      <c r="BK123" s="2"/>
      <c r="BL123" s="2"/>
      <c r="BM123" s="2"/>
      <c r="BN123" s="2">
        <v>0</v>
      </c>
      <c r="BO123" s="2"/>
      <c r="BP123" s="36">
        <f t="shared" si="6"/>
        <v>15807054</v>
      </c>
      <c r="BQ123" s="2"/>
      <c r="BR123" s="64">
        <f>GovRev!AX124-BP123</f>
        <v>35377</v>
      </c>
      <c r="BS123" s="2"/>
      <c r="BT123" s="2">
        <v>5374085</v>
      </c>
      <c r="BU123" s="2"/>
      <c r="BV123" s="2">
        <v>0</v>
      </c>
      <c r="BW123" s="2"/>
      <c r="BX123" s="36">
        <f t="shared" si="5"/>
        <v>5409462</v>
      </c>
      <c r="BY123" s="2"/>
      <c r="BZ123" s="64">
        <f>-BX123+GovBS!AC123</f>
        <v>-12201</v>
      </c>
      <c r="CB123" s="13" t="s">
        <v>373</v>
      </c>
      <c r="CC123" s="2"/>
    </row>
    <row r="124" spans="1:81" s="19" customFormat="1" ht="12" hidden="1">
      <c r="A124" s="71" t="s">
        <v>259</v>
      </c>
      <c r="C124" s="19" t="s">
        <v>260</v>
      </c>
      <c r="E124" s="19">
        <v>50476</v>
      </c>
      <c r="BA124" s="2">
        <v>0</v>
      </c>
      <c r="BN124" s="2">
        <v>0</v>
      </c>
      <c r="BQ124" s="2"/>
      <c r="BR124" s="64">
        <f>GovRev!AX125-BP124</f>
        <v>0</v>
      </c>
      <c r="BS124" s="2"/>
      <c r="BT124" s="2"/>
      <c r="BU124" s="2"/>
      <c r="BV124" s="2">
        <v>0</v>
      </c>
      <c r="BW124" s="2"/>
      <c r="BX124" s="36">
        <f t="shared" si="5"/>
        <v>0</v>
      </c>
      <c r="BY124" s="36"/>
      <c r="BZ124" s="64">
        <f>-BX124+GovBS!AC124</f>
        <v>0</v>
      </c>
      <c r="CB124" s="60" t="s">
        <v>428</v>
      </c>
    </row>
    <row r="125" spans="1:81" s="19" customFormat="1" ht="12">
      <c r="A125" s="19" t="s">
        <v>255</v>
      </c>
      <c r="C125" s="19" t="s">
        <v>358</v>
      </c>
      <c r="E125" s="19">
        <v>134999</v>
      </c>
      <c r="G125" s="2">
        <v>1268562</v>
      </c>
      <c r="H125" s="2"/>
      <c r="I125" s="2">
        <v>1803149</v>
      </c>
      <c r="J125" s="2"/>
      <c r="K125" s="2">
        <v>0</v>
      </c>
      <c r="L125" s="2"/>
      <c r="M125" s="2">
        <v>0</v>
      </c>
      <c r="N125" s="2"/>
      <c r="O125" s="2">
        <v>1054012</v>
      </c>
      <c r="P125" s="2"/>
      <c r="Q125" s="2">
        <v>960887</v>
      </c>
      <c r="R125" s="2"/>
      <c r="S125" s="2">
        <v>52902</v>
      </c>
      <c r="T125" s="2"/>
      <c r="U125" s="2">
        <v>438066</v>
      </c>
      <c r="V125" s="2"/>
      <c r="W125" s="2">
        <v>125247</v>
      </c>
      <c r="X125" s="2"/>
      <c r="Y125" s="2">
        <v>0</v>
      </c>
      <c r="Z125" s="2"/>
      <c r="AA125" s="2">
        <v>11795</v>
      </c>
      <c r="AB125" s="2"/>
      <c r="AC125" s="19" t="s">
        <v>255</v>
      </c>
      <c r="AE125" s="19" t="s">
        <v>358</v>
      </c>
      <c r="AF125" s="2"/>
      <c r="AG125" s="2">
        <v>0</v>
      </c>
      <c r="AH125" s="2"/>
      <c r="AI125" s="2">
        <v>54527</v>
      </c>
      <c r="AJ125" s="2"/>
      <c r="AK125" s="2"/>
      <c r="AL125" s="2"/>
      <c r="AM125" s="2">
        <v>0</v>
      </c>
      <c r="AN125" s="2"/>
      <c r="AO125" s="2">
        <v>2875</v>
      </c>
      <c r="AP125" s="2"/>
      <c r="AQ125" s="2">
        <v>0</v>
      </c>
      <c r="AR125" s="2"/>
      <c r="AS125" s="2">
        <v>0</v>
      </c>
      <c r="AT125" s="2"/>
      <c r="AU125" s="2">
        <v>407530</v>
      </c>
      <c r="AV125" s="2"/>
      <c r="AW125" s="2">
        <v>0</v>
      </c>
      <c r="AX125" s="2"/>
      <c r="AY125" s="2">
        <v>0</v>
      </c>
      <c r="AZ125" s="2"/>
      <c r="BA125" s="2">
        <v>0</v>
      </c>
      <c r="BB125" s="2"/>
      <c r="BC125" s="36">
        <f>SUM(G125:BA125)</f>
        <v>6179552</v>
      </c>
      <c r="BD125" s="19" t="s">
        <v>255</v>
      </c>
      <c r="BF125" s="19" t="s">
        <v>358</v>
      </c>
      <c r="BG125" s="2"/>
      <c r="BH125" s="2">
        <v>0</v>
      </c>
      <c r="BI125" s="2"/>
      <c r="BJ125" s="2">
        <v>0</v>
      </c>
      <c r="BK125" s="2"/>
      <c r="BL125" s="2"/>
      <c r="BM125" s="2"/>
      <c r="BN125" s="2">
        <v>0</v>
      </c>
      <c r="BO125" s="2"/>
      <c r="BP125" s="36">
        <f>+BC125+BH125+BJ125+BN125+BL125</f>
        <v>6179552</v>
      </c>
      <c r="BQ125" s="2"/>
      <c r="BR125" s="64">
        <f>GovRev!AX126-BP125</f>
        <v>-1439</v>
      </c>
      <c r="BS125" s="2"/>
      <c r="BT125" s="2">
        <v>546483</v>
      </c>
      <c r="BU125" s="2"/>
      <c r="BV125" s="2">
        <v>0</v>
      </c>
      <c r="BW125" s="2"/>
      <c r="BX125" s="36">
        <f t="shared" si="5"/>
        <v>545044</v>
      </c>
      <c r="BY125" s="36"/>
      <c r="BZ125" s="64">
        <f>-BX125+GovBS!AC125</f>
        <v>0</v>
      </c>
    </row>
    <row r="126" spans="1:81" s="19" customFormat="1" ht="12">
      <c r="A126" s="19" t="s">
        <v>263</v>
      </c>
      <c r="C126" s="19" t="s">
        <v>264</v>
      </c>
      <c r="E126" s="19">
        <v>50666</v>
      </c>
      <c r="G126" s="2">
        <v>1122224</v>
      </c>
      <c r="H126" s="2"/>
      <c r="I126" s="2">
        <v>5738479</v>
      </c>
      <c r="J126" s="2"/>
      <c r="K126" s="2">
        <v>62475</v>
      </c>
      <c r="L126" s="2"/>
      <c r="M126" s="2">
        <v>24309</v>
      </c>
      <c r="N126" s="2"/>
      <c r="O126" s="2">
        <v>2970517</v>
      </c>
      <c r="P126" s="2"/>
      <c r="Q126" s="2">
        <v>3555462</v>
      </c>
      <c r="R126" s="2"/>
      <c r="S126" s="2">
        <v>51089</v>
      </c>
      <c r="T126" s="2"/>
      <c r="U126" s="2">
        <v>1765917</v>
      </c>
      <c r="V126" s="2"/>
      <c r="W126" s="2">
        <v>626935</v>
      </c>
      <c r="X126" s="2"/>
      <c r="Y126" s="2">
        <v>0</v>
      </c>
      <c r="Z126" s="2"/>
      <c r="AA126" s="2">
        <v>125134</v>
      </c>
      <c r="AB126" s="2"/>
      <c r="AC126" s="19" t="s">
        <v>263</v>
      </c>
      <c r="AE126" s="19" t="s">
        <v>264</v>
      </c>
      <c r="AF126" s="2"/>
      <c r="AG126" s="2">
        <v>56741</v>
      </c>
      <c r="AH126" s="2"/>
      <c r="AI126" s="2">
        <v>200504</v>
      </c>
      <c r="AJ126" s="2"/>
      <c r="AK126" s="2"/>
      <c r="AL126" s="2"/>
      <c r="AM126" s="2">
        <v>0</v>
      </c>
      <c r="AN126" s="2"/>
      <c r="AO126" s="2">
        <v>16936</v>
      </c>
      <c r="AP126" s="2"/>
      <c r="AQ126" s="2">
        <v>0</v>
      </c>
      <c r="AR126" s="2"/>
      <c r="AS126" s="2">
        <v>0</v>
      </c>
      <c r="AT126" s="2"/>
      <c r="AU126" s="2">
        <v>126110</v>
      </c>
      <c r="AV126" s="2"/>
      <c r="AW126" s="2">
        <v>0</v>
      </c>
      <c r="AX126" s="2"/>
      <c r="AY126" s="2">
        <v>0</v>
      </c>
      <c r="AZ126" s="2"/>
      <c r="BA126" s="2">
        <v>0</v>
      </c>
      <c r="BB126" s="2"/>
      <c r="BC126" s="36">
        <f t="shared" si="4"/>
        <v>16442832</v>
      </c>
      <c r="BD126" s="19" t="s">
        <v>263</v>
      </c>
      <c r="BF126" s="19" t="s">
        <v>264</v>
      </c>
      <c r="BG126" s="2"/>
      <c r="BH126" s="2">
        <v>0</v>
      </c>
      <c r="BI126" s="2"/>
      <c r="BJ126" s="2">
        <v>0</v>
      </c>
      <c r="BK126" s="2"/>
      <c r="BL126" s="2"/>
      <c r="BM126" s="2"/>
      <c r="BN126" s="2">
        <v>0</v>
      </c>
      <c r="BO126" s="2"/>
      <c r="BP126" s="36">
        <f t="shared" si="6"/>
        <v>16442832</v>
      </c>
      <c r="BQ126" s="2"/>
      <c r="BR126" s="64">
        <f>GovRev!AX127-BP126</f>
        <v>293280</v>
      </c>
      <c r="BS126" s="2"/>
      <c r="BT126" s="2">
        <v>3932194</v>
      </c>
      <c r="BU126" s="2"/>
      <c r="BV126" s="13">
        <v>0</v>
      </c>
      <c r="BW126" s="2"/>
      <c r="BX126" s="36">
        <f t="shared" si="5"/>
        <v>4225474</v>
      </c>
      <c r="BY126" s="36"/>
      <c r="BZ126" s="64">
        <f>-BX126+GovBS!AC126</f>
        <v>0</v>
      </c>
    </row>
    <row r="127" spans="1:81" s="19" customFormat="1" ht="12"/>
    <row r="128" spans="1:81" s="19" customFormat="1" ht="12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AA128" s="57" t="s">
        <v>348</v>
      </c>
      <c r="AI128" s="57"/>
      <c r="BC128" s="57" t="s">
        <v>348</v>
      </c>
    </row>
    <row r="129" spans="7:76" s="19" customFormat="1" ht="12"/>
    <row r="135" spans="7:76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19"/>
      <c r="AD135" s="19"/>
      <c r="AE135" s="19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36"/>
      <c r="BD135" s="19"/>
      <c r="BE135" s="19"/>
      <c r="BF135" s="19"/>
      <c r="BG135" s="2"/>
      <c r="BH135" s="2"/>
      <c r="BI135" s="2"/>
      <c r="BJ135" s="2">
        <v>0</v>
      </c>
      <c r="BK135" s="2"/>
      <c r="BL135" s="2">
        <v>0</v>
      </c>
      <c r="BM135" s="2"/>
      <c r="BN135" s="2"/>
      <c r="BO135" s="2"/>
      <c r="BP135" s="36"/>
      <c r="BQ135" s="2"/>
      <c r="BR135" s="36"/>
      <c r="BS135" s="2"/>
      <c r="BT135" s="2"/>
      <c r="BU135" s="2"/>
      <c r="BV135" s="2"/>
      <c r="BW135" s="2"/>
      <c r="BX135" s="36"/>
    </row>
  </sheetData>
  <mergeCells count="3">
    <mergeCell ref="O6:AB6"/>
    <mergeCell ref="A128:K128"/>
    <mergeCell ref="A64:K64"/>
  </mergeCells>
  <phoneticPr fontId="3" type="noConversion"/>
  <pageMargins left="0.75" right="0.75" top="0.5" bottom="0.5" header="0" footer="0.25"/>
  <pageSetup scale="80" firstPageNumber="56" fitToWidth="0" fitToHeight="0" pageOrder="overThenDown" orientation="portrait" useFirstPageNumber="1" horizontalDpi="1200" verticalDpi="1200" r:id="rId1"/>
  <headerFooter alignWithMargins="0">
    <oddFooter>&amp;C&amp;"Times New Roman,Regular"&amp;12&amp;P</oddFooter>
  </headerFooter>
  <rowBreaks count="1" manualBreakCount="1">
    <brk id="64" max="16383" man="1"/>
  </rowBreaks>
  <colBreaks count="1" manualBreakCount="1"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St of Net Assets</vt:lpstr>
      <vt:lpstr>St of Act-Rev</vt:lpstr>
      <vt:lpstr>St of Act-Exp</vt:lpstr>
      <vt:lpstr>GenBS</vt:lpstr>
      <vt:lpstr>GenRev</vt:lpstr>
      <vt:lpstr>GenExp</vt:lpstr>
      <vt:lpstr>GovBS</vt:lpstr>
      <vt:lpstr>GovRev</vt:lpstr>
      <vt:lpstr>GovExp</vt:lpstr>
      <vt:lpstr>LT_Ob</vt:lpstr>
      <vt:lpstr>GovExp!Print_Area</vt:lpstr>
      <vt:lpstr>'St of Act-Exp'!Print_Area</vt:lpstr>
      <vt:lpstr>GenBS!Print_Titles</vt:lpstr>
      <vt:lpstr>GenExp!Print_Titles</vt:lpstr>
      <vt:lpstr>GenRev!Print_Titles</vt:lpstr>
      <vt:lpstr>GovBS!Print_Titles</vt:lpstr>
      <vt:lpstr>GovExp!Print_Titles</vt:lpstr>
      <vt:lpstr>GovRev!Print_Titles</vt:lpstr>
      <vt:lpstr>LT_Ob!Print_Titles</vt:lpstr>
      <vt:lpstr>'St of Act-Exp'!Print_Titles</vt:lpstr>
      <vt:lpstr>'St of Act-Rev'!Print_Titles</vt:lpstr>
      <vt:lpstr>'St of Net Assets'!Print_Titles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A. Bizic</dc:creator>
  <cp:lastModifiedBy>Jeffrey G .Wilcheck</cp:lastModifiedBy>
  <cp:lastPrinted>2012-01-29T17:05:05Z</cp:lastPrinted>
  <dcterms:created xsi:type="dcterms:W3CDTF">2004-12-29T15:55:54Z</dcterms:created>
  <dcterms:modified xsi:type="dcterms:W3CDTF">2012-01-29T17:07:51Z</dcterms:modified>
</cp:coreProperties>
</file>