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1355" windowHeight="7395" activeTab="9"/>
  </bookViews>
  <sheets>
    <sheet name="St of Net Assets" sheetId="9" r:id="rId1"/>
    <sheet name="St of Act-Rev" sheetId="8" r:id="rId2"/>
    <sheet name="St of Act-Exp" sheetId="7" r:id="rId3"/>
    <sheet name="GenBS" sheetId="6" r:id="rId4"/>
    <sheet name="GenRev" sheetId="5" r:id="rId5"/>
    <sheet name="GenExp" sheetId="4" r:id="rId6"/>
    <sheet name="GovBS" sheetId="1" r:id="rId7"/>
    <sheet name="GovRev" sheetId="2" r:id="rId8"/>
    <sheet name="GovExp" sheetId="11" r:id="rId9"/>
    <sheet name="LT_Ob" sheetId="10" r:id="rId10"/>
  </sheets>
  <definedNames>
    <definedName name="_xlnm.Print_Area" localSheetId="3">GenBS!$A$1:$AE$132</definedName>
    <definedName name="_xlnm.Print_Area" localSheetId="5">GenExp!$A$1:$BW$132</definedName>
    <definedName name="_xlnm.Print_Area" localSheetId="4">GenRev!$A$1:$AW$132</definedName>
    <definedName name="_xlnm.Print_Area" localSheetId="6">GovBS!$A$1:$AE$132</definedName>
    <definedName name="_xlnm.Print_Area" localSheetId="8">GovExp!$A$1:$BZ$132</definedName>
    <definedName name="_xlnm.Print_Area" localSheetId="7">GovRev!$A$1:$AV$132</definedName>
    <definedName name="_xlnm.Print_Area" localSheetId="9">LT_Ob!$A$1:$U$132</definedName>
    <definedName name="_xlnm.Print_Area" localSheetId="2">'St of Act-Exp'!$A$1:$BI$132</definedName>
    <definedName name="_xlnm.Print_Area" localSheetId="1">'St of Act-Rev'!$A$1:$AG$132</definedName>
    <definedName name="_xlnm.Print_Area" localSheetId="0">'St of Net Assets'!$A$1:$AA$132</definedName>
    <definedName name="_xlnm.Print_Titles" localSheetId="3">GenBS!$1:$11</definedName>
    <definedName name="_xlnm.Print_Titles" localSheetId="5">GenExp!$1:$11</definedName>
    <definedName name="_xlnm.Print_Titles" localSheetId="4">GenRev!$1:$11</definedName>
    <definedName name="_xlnm.Print_Titles" localSheetId="6">GovBS!$1:$11</definedName>
    <definedName name="_xlnm.Print_Titles" localSheetId="8">GovExp!$1:$11</definedName>
    <definedName name="_xlnm.Print_Titles" localSheetId="7">GovRev!$1:$11</definedName>
    <definedName name="_xlnm.Print_Titles" localSheetId="9">LT_Ob!$1:$11</definedName>
    <definedName name="_xlnm.Print_Titles" localSheetId="2">'St of Act-Exp'!$1:$11</definedName>
    <definedName name="_xlnm.Print_Titles" localSheetId="1">'St of Act-Rev'!$1:$11</definedName>
    <definedName name="_xlnm.Print_Titles" localSheetId="0">'St of Net Assets'!$1:$11</definedName>
  </definedNames>
  <calcPr calcId="145621"/>
</workbook>
</file>

<file path=xl/calcChain.xml><?xml version="1.0" encoding="utf-8"?>
<calcChain xmlns="http://schemas.openxmlformats.org/spreadsheetml/2006/main">
  <c r="BE14" i="11" l="1"/>
  <c r="BR14" i="11"/>
  <c r="BT14" i="11" s="1"/>
  <c r="BZ14" i="11" s="1"/>
  <c r="CB14" i="11" s="1"/>
  <c r="CF14" i="11"/>
  <c r="CG14" i="11"/>
  <c r="CH14" i="11"/>
  <c r="CI14" i="11"/>
  <c r="CJ14" i="11" s="1"/>
  <c r="CL14" i="11"/>
  <c r="CM14" i="11"/>
  <c r="CN14" i="11"/>
  <c r="CP14" i="11"/>
  <c r="O15" i="11"/>
  <c r="BE15" i="11"/>
  <c r="BR15" i="11" s="1"/>
  <c r="BT15" i="11" s="1"/>
  <c r="BZ15" i="11" s="1"/>
  <c r="CB15" i="11" s="1"/>
  <c r="CF15" i="11"/>
  <c r="CG15" i="11"/>
  <c r="CH15" i="11"/>
  <c r="CI15" i="11"/>
  <c r="CJ15" i="11" s="1"/>
  <c r="CL15" i="11"/>
  <c r="CM15" i="11"/>
  <c r="CN15" i="11"/>
  <c r="CP15" i="11"/>
  <c r="BE16" i="11"/>
  <c r="BR16" i="11" s="1"/>
  <c r="BT16" i="11" s="1"/>
  <c r="BZ16" i="11" s="1"/>
  <c r="CB16" i="11" s="1"/>
  <c r="CF16" i="11"/>
  <c r="CG16" i="11"/>
  <c r="CH16" i="11"/>
  <c r="CI16" i="11"/>
  <c r="CJ16" i="11" s="1"/>
  <c r="CL16" i="11"/>
  <c r="CM16" i="11"/>
  <c r="CN16" i="11"/>
  <c r="CP16" i="11"/>
  <c r="BE17" i="11"/>
  <c r="BR17" i="11" s="1"/>
  <c r="BT17" i="11" s="1"/>
  <c r="BZ17" i="11" s="1"/>
  <c r="CB17" i="11" s="1"/>
  <c r="CF17" i="11"/>
  <c r="CG17" i="11"/>
  <c r="CH17" i="11"/>
  <c r="CI17" i="11"/>
  <c r="CJ17" i="11" s="1"/>
  <c r="CL17" i="11"/>
  <c r="CM17" i="11"/>
  <c r="CN17" i="11"/>
  <c r="CP17" i="11"/>
  <c r="BE18" i="11"/>
  <c r="BR18" i="11" s="1"/>
  <c r="BT18" i="11" s="1"/>
  <c r="BZ18" i="11" s="1"/>
  <c r="CB18" i="11" s="1"/>
  <c r="CF18" i="11"/>
  <c r="CG18" i="11"/>
  <c r="CH18" i="11"/>
  <c r="CI18" i="11"/>
  <c r="CJ18" i="11" s="1"/>
  <c r="CL18" i="11"/>
  <c r="CM18" i="11"/>
  <c r="CN18" i="11"/>
  <c r="CP18" i="11"/>
  <c r="AU19" i="11"/>
  <c r="BE19" i="11" s="1"/>
  <c r="BR19" i="11" s="1"/>
  <c r="BT19" i="11" s="1"/>
  <c r="BZ19" i="11" s="1"/>
  <c r="CB19" i="11" s="1"/>
  <c r="CF19" i="11"/>
  <c r="CG19" i="11"/>
  <c r="CH19" i="11"/>
  <c r="CI19" i="11"/>
  <c r="CJ19" i="11" s="1"/>
  <c r="CL19" i="11"/>
  <c r="CM19" i="11"/>
  <c r="CN19" i="11"/>
  <c r="CP19" i="11"/>
  <c r="BE20" i="11"/>
  <c r="BR20" i="11"/>
  <c r="BT20" i="11" s="1"/>
  <c r="BZ20" i="11" s="1"/>
  <c r="CB20" i="11" s="1"/>
  <c r="CF20" i="11"/>
  <c r="CG20" i="11"/>
  <c r="CH20" i="11"/>
  <c r="CI20" i="11"/>
  <c r="CJ20" i="11"/>
  <c r="CL20" i="11"/>
  <c r="CM20" i="11"/>
  <c r="CN20" i="11"/>
  <c r="CP20" i="11"/>
  <c r="BE21" i="11"/>
  <c r="BR21" i="11"/>
  <c r="BT21" i="11" s="1"/>
  <c r="BZ21" i="11" s="1"/>
  <c r="CB21" i="11" s="1"/>
  <c r="CF21" i="11"/>
  <c r="CG21" i="11"/>
  <c r="CH21" i="11"/>
  <c r="CI21" i="11"/>
  <c r="CJ21" i="11" s="1"/>
  <c r="CL21" i="11"/>
  <c r="CM21" i="11"/>
  <c r="CN21" i="11"/>
  <c r="CP21" i="11"/>
  <c r="BE22" i="11"/>
  <c r="BR22" i="11"/>
  <c r="BT22" i="11" s="1"/>
  <c r="BZ22" i="11" s="1"/>
  <c r="CB22" i="11" s="1"/>
  <c r="CF22" i="11"/>
  <c r="CG22" i="11"/>
  <c r="CH22" i="11"/>
  <c r="CI22" i="11"/>
  <c r="CJ22" i="11" s="1"/>
  <c r="CL22" i="11"/>
  <c r="CM22" i="11"/>
  <c r="CN22" i="11"/>
  <c r="CP22" i="11"/>
  <c r="BE23" i="11"/>
  <c r="BR23" i="11"/>
  <c r="BT23" i="11" s="1"/>
  <c r="BZ23" i="11" s="1"/>
  <c r="CB23" i="11" s="1"/>
  <c r="CF23" i="11"/>
  <c r="CG23" i="11"/>
  <c r="CH23" i="11"/>
  <c r="CI23" i="11"/>
  <c r="CJ23" i="11" s="1"/>
  <c r="CL23" i="11"/>
  <c r="CM23" i="11"/>
  <c r="CN23" i="11"/>
  <c r="CP23" i="11"/>
  <c r="BE24" i="11"/>
  <c r="BR24" i="11"/>
  <c r="BT24" i="11" s="1"/>
  <c r="BZ24" i="11" s="1"/>
  <c r="CB24" i="11" s="1"/>
  <c r="CF24" i="11"/>
  <c r="CG24" i="11"/>
  <c r="CH24" i="11"/>
  <c r="CI24" i="11"/>
  <c r="CJ24" i="11" s="1"/>
  <c r="CL24" i="11"/>
  <c r="CM24" i="11"/>
  <c r="CN24" i="11"/>
  <c r="CP24" i="11"/>
  <c r="AQ25" i="11"/>
  <c r="BE25" i="11" s="1"/>
  <c r="BR25" i="11" s="1"/>
  <c r="BT25" i="11" s="1"/>
  <c r="BZ25" i="11" s="1"/>
  <c r="CB25" i="11" s="1"/>
  <c r="AU25" i="11"/>
  <c r="CF25" i="11"/>
  <c r="CG25" i="11"/>
  <c r="CH25" i="11"/>
  <c r="CI25" i="11"/>
  <c r="CJ25" i="11"/>
  <c r="CL25" i="11"/>
  <c r="CM25" i="11"/>
  <c r="CN25" i="11"/>
  <c r="CP25" i="11"/>
  <c r="BE26" i="11"/>
  <c r="BR26" i="11"/>
  <c r="BT26" i="11" s="1"/>
  <c r="BZ26" i="11" s="1"/>
  <c r="CB26" i="11" s="1"/>
  <c r="CF26" i="11"/>
  <c r="CG26" i="11"/>
  <c r="CH26" i="11"/>
  <c r="CI26" i="11"/>
  <c r="CJ26" i="11" s="1"/>
  <c r="CL26" i="11"/>
  <c r="CM26" i="11"/>
  <c r="CN26" i="11"/>
  <c r="CP26" i="11"/>
  <c r="BE27" i="11"/>
  <c r="BR27" i="11"/>
  <c r="BT27" i="11" s="1"/>
  <c r="BZ27" i="11" s="1"/>
  <c r="CB27" i="11" s="1"/>
  <c r="CF27" i="11"/>
  <c r="CG27" i="11"/>
  <c r="CH27" i="11"/>
  <c r="CI27" i="11"/>
  <c r="CJ27" i="11" s="1"/>
  <c r="CL27" i="11"/>
  <c r="CM27" i="11"/>
  <c r="CN27" i="11"/>
  <c r="CP27" i="11"/>
  <c r="BE28" i="11"/>
  <c r="BR28" i="11"/>
  <c r="BT28" i="11" s="1"/>
  <c r="BZ28" i="11" s="1"/>
  <c r="CB28" i="11" s="1"/>
  <c r="CF28" i="11"/>
  <c r="CG28" i="11"/>
  <c r="CH28" i="11"/>
  <c r="CI28" i="11"/>
  <c r="CJ28" i="11"/>
  <c r="CL28" i="11"/>
  <c r="CM28" i="11"/>
  <c r="CN28" i="11"/>
  <c r="CP28" i="11"/>
  <c r="BE29" i="11"/>
  <c r="BR29" i="11"/>
  <c r="BT29" i="11" s="1"/>
  <c r="BZ29" i="11" s="1"/>
  <c r="CB29" i="11" s="1"/>
  <c r="CF29" i="11"/>
  <c r="CG29" i="11"/>
  <c r="CH29" i="11"/>
  <c r="CI29" i="11"/>
  <c r="CJ29" i="11" s="1"/>
  <c r="CL29" i="11"/>
  <c r="CM29" i="11"/>
  <c r="CN29" i="11"/>
  <c r="CP29" i="11"/>
  <c r="BE30" i="11"/>
  <c r="BR30" i="11"/>
  <c r="BT30" i="11" s="1"/>
  <c r="BZ30" i="11" s="1"/>
  <c r="CB30" i="11" s="1"/>
  <c r="CF30" i="11"/>
  <c r="CG30" i="11"/>
  <c r="CH30" i="11"/>
  <c r="CI30" i="11"/>
  <c r="CJ30" i="11" s="1"/>
  <c r="CL30" i="11"/>
  <c r="CM30" i="11"/>
  <c r="CN30" i="11"/>
  <c r="CP30" i="11"/>
  <c r="BE31" i="11"/>
  <c r="BR31" i="11"/>
  <c r="BT31" i="11" s="1"/>
  <c r="BZ31" i="11" s="1"/>
  <c r="CB31" i="11" s="1"/>
  <c r="CF31" i="11"/>
  <c r="CG31" i="11"/>
  <c r="CH31" i="11"/>
  <c r="CI31" i="11"/>
  <c r="CJ31" i="11" s="1"/>
  <c r="CL31" i="11"/>
  <c r="CM31" i="11"/>
  <c r="CN31" i="11"/>
  <c r="CP31" i="11"/>
  <c r="BE32" i="11"/>
  <c r="BR32" i="11"/>
  <c r="BT32" i="11" s="1"/>
  <c r="BZ32" i="11" s="1"/>
  <c r="CB32" i="11" s="1"/>
  <c r="CF32" i="11"/>
  <c r="CG32" i="11"/>
  <c r="CH32" i="11"/>
  <c r="CI32" i="11"/>
  <c r="CJ32" i="11" s="1"/>
  <c r="CL32" i="11"/>
  <c r="CM32" i="11"/>
  <c r="CN32" i="11"/>
  <c r="CP32" i="11"/>
  <c r="BE33" i="11"/>
  <c r="BR33" i="11"/>
  <c r="BT33" i="11" s="1"/>
  <c r="BZ33" i="11" s="1"/>
  <c r="CB33" i="11" s="1"/>
  <c r="CF33" i="11"/>
  <c r="CG33" i="11"/>
  <c r="CH33" i="11"/>
  <c r="CI33" i="11"/>
  <c r="CJ33" i="11"/>
  <c r="CL33" i="11"/>
  <c r="CM33" i="11"/>
  <c r="CN33" i="11"/>
  <c r="CP33" i="11"/>
  <c r="BE34" i="11"/>
  <c r="BR34" i="11"/>
  <c r="BT34" i="11" s="1"/>
  <c r="BZ34" i="11" s="1"/>
  <c r="CB34" i="11" s="1"/>
  <c r="CF34" i="11"/>
  <c r="CG34" i="11"/>
  <c r="CH34" i="11"/>
  <c r="CI34" i="11"/>
  <c r="CJ34" i="11" s="1"/>
  <c r="CL34" i="11"/>
  <c r="CM34" i="11"/>
  <c r="CN34" i="11"/>
  <c r="CP34" i="11"/>
  <c r="BE35" i="11"/>
  <c r="BR35" i="11"/>
  <c r="BT35" i="11" s="1"/>
  <c r="BZ35" i="11" s="1"/>
  <c r="CB35" i="11" s="1"/>
  <c r="CF35" i="11"/>
  <c r="CG35" i="11"/>
  <c r="CH35" i="11"/>
  <c r="CI35" i="11"/>
  <c r="CJ35" i="11" s="1"/>
  <c r="CL35" i="11"/>
  <c r="CM35" i="11"/>
  <c r="CN35" i="11"/>
  <c r="CP35" i="11"/>
  <c r="BE36" i="11"/>
  <c r="BR36" i="11"/>
  <c r="BT36" i="11" s="1"/>
  <c r="BZ36" i="11" s="1"/>
  <c r="CB36" i="11" s="1"/>
  <c r="CF36" i="11"/>
  <c r="CG36" i="11"/>
  <c r="CH36" i="11"/>
  <c r="CI36" i="11"/>
  <c r="CJ36" i="11"/>
  <c r="CL36" i="11"/>
  <c r="CM36" i="11"/>
  <c r="CN36" i="11"/>
  <c r="CP36" i="11"/>
  <c r="BE37" i="11"/>
  <c r="BR37" i="11"/>
  <c r="BT37" i="11" s="1"/>
  <c r="BZ37" i="11" s="1"/>
  <c r="CB37" i="11" s="1"/>
  <c r="CF37" i="11"/>
  <c r="CG37" i="11"/>
  <c r="CH37" i="11"/>
  <c r="CI37" i="11"/>
  <c r="CJ37" i="11" s="1"/>
  <c r="CL37" i="11"/>
  <c r="CM37" i="11"/>
  <c r="CN37" i="11"/>
  <c r="CP37" i="11"/>
  <c r="BE38" i="11"/>
  <c r="BR38" i="11"/>
  <c r="BT38" i="11" s="1"/>
  <c r="BZ38" i="11" s="1"/>
  <c r="CB38" i="11" s="1"/>
  <c r="CF38" i="11"/>
  <c r="CG38" i="11"/>
  <c r="CH38" i="11"/>
  <c r="CI38" i="11"/>
  <c r="CJ38" i="11" s="1"/>
  <c r="CL38" i="11"/>
  <c r="CM38" i="11"/>
  <c r="CN38" i="11"/>
  <c r="CP38" i="11"/>
  <c r="BE39" i="11"/>
  <c r="BR39" i="11"/>
  <c r="BT39" i="11" s="1"/>
  <c r="BZ39" i="11" s="1"/>
  <c r="CB39" i="11" s="1"/>
  <c r="CF39" i="11"/>
  <c r="CG39" i="11"/>
  <c r="CH39" i="11"/>
  <c r="CI39" i="11"/>
  <c r="CJ39" i="11" s="1"/>
  <c r="CL39" i="11"/>
  <c r="CM39" i="11"/>
  <c r="CN39" i="11"/>
  <c r="CP39" i="11"/>
  <c r="BE40" i="11"/>
  <c r="BR40" i="11"/>
  <c r="BT40" i="11" s="1"/>
  <c r="BZ40" i="11" s="1"/>
  <c r="CB40" i="11" s="1"/>
  <c r="CF40" i="11"/>
  <c r="CG40" i="11"/>
  <c r="CH40" i="11"/>
  <c r="CI40" i="11"/>
  <c r="CJ40" i="11" s="1"/>
  <c r="CL40" i="11"/>
  <c r="CM40" i="11"/>
  <c r="CN40" i="11"/>
  <c r="CP40" i="11"/>
  <c r="BE41" i="11"/>
  <c r="BR41" i="11"/>
  <c r="BT41" i="11" s="1"/>
  <c r="BZ41" i="11" s="1"/>
  <c r="CB41" i="11" s="1"/>
  <c r="CF41" i="11"/>
  <c r="CG41" i="11"/>
  <c r="CH41" i="11"/>
  <c r="CI41" i="11"/>
  <c r="CJ41" i="11"/>
  <c r="CL41" i="11"/>
  <c r="CM41" i="11"/>
  <c r="CN41" i="11"/>
  <c r="CP41" i="11"/>
  <c r="BE42" i="11"/>
  <c r="BR42" i="11"/>
  <c r="BT42" i="11" s="1"/>
  <c r="BZ42" i="11" s="1"/>
  <c r="CB42" i="11" s="1"/>
  <c r="CF42" i="11"/>
  <c r="CG42" i="11"/>
  <c r="CH42" i="11"/>
  <c r="CI42" i="11"/>
  <c r="CJ42" i="11"/>
  <c r="CL42" i="11"/>
  <c r="CM42" i="11"/>
  <c r="CN42" i="11"/>
  <c r="CP42" i="11"/>
  <c r="BE43" i="11"/>
  <c r="BR43" i="11"/>
  <c r="BT43" i="11" s="1"/>
  <c r="BZ43" i="11" s="1"/>
  <c r="CB43" i="11" s="1"/>
  <c r="CF43" i="11"/>
  <c r="CG43" i="11"/>
  <c r="CH43" i="11"/>
  <c r="CI43" i="11"/>
  <c r="CJ43" i="11" s="1"/>
  <c r="CL43" i="11"/>
  <c r="CM43" i="11"/>
  <c r="CN43" i="11"/>
  <c r="CP43" i="11"/>
  <c r="BE44" i="11"/>
  <c r="BR44" i="11"/>
  <c r="BT44" i="11" s="1"/>
  <c r="BZ44" i="11" s="1"/>
  <c r="CB44" i="11" s="1"/>
  <c r="CF44" i="11"/>
  <c r="CG44" i="11"/>
  <c r="CH44" i="11"/>
  <c r="CI44" i="11"/>
  <c r="CJ44" i="11" s="1"/>
  <c r="CL44" i="11"/>
  <c r="CM44" i="11"/>
  <c r="CN44" i="11"/>
  <c r="CP44" i="11"/>
  <c r="BE45" i="11"/>
  <c r="BR45" i="11"/>
  <c r="BT45" i="11" s="1"/>
  <c r="BZ45" i="11" s="1"/>
  <c r="CB45" i="11" s="1"/>
  <c r="CF45" i="11"/>
  <c r="CG45" i="11"/>
  <c r="CH45" i="11"/>
  <c r="CI45" i="11"/>
  <c r="CJ45" i="11" s="1"/>
  <c r="CL45" i="11"/>
  <c r="CM45" i="11"/>
  <c r="CN45" i="11"/>
  <c r="CP45" i="11"/>
  <c r="BE46" i="11"/>
  <c r="BR46" i="11"/>
  <c r="BT46" i="11" s="1"/>
  <c r="BZ46" i="11" s="1"/>
  <c r="CB46" i="11" s="1"/>
  <c r="CF46" i="11"/>
  <c r="CG46" i="11"/>
  <c r="CH46" i="11"/>
  <c r="CI46" i="11"/>
  <c r="CJ46" i="11" s="1"/>
  <c r="CL46" i="11"/>
  <c r="CM46" i="11"/>
  <c r="CN46" i="11"/>
  <c r="CP46" i="11"/>
  <c r="AU47" i="11"/>
  <c r="BE47" i="11"/>
  <c r="BR47" i="11" s="1"/>
  <c r="BT47" i="11" s="1"/>
  <c r="BZ47" i="11" s="1"/>
  <c r="CB47" i="11" s="1"/>
  <c r="CF47" i="11"/>
  <c r="CG47" i="11"/>
  <c r="CH47" i="11"/>
  <c r="CI47" i="11"/>
  <c r="CJ47" i="11" s="1"/>
  <c r="CL47" i="11"/>
  <c r="CM47" i="11"/>
  <c r="CN47" i="11"/>
  <c r="CP47" i="11"/>
  <c r="BE48" i="11"/>
  <c r="BR48" i="11" s="1"/>
  <c r="BT48" i="11"/>
  <c r="BZ48" i="11" s="1"/>
  <c r="CB48" i="11" s="1"/>
  <c r="CF48" i="11"/>
  <c r="CG48" i="11"/>
  <c r="CH48" i="11"/>
  <c r="CI48" i="11"/>
  <c r="CJ48" i="11" s="1"/>
  <c r="CL48" i="11"/>
  <c r="CM48" i="11"/>
  <c r="CN48" i="11"/>
  <c r="CP48" i="11"/>
  <c r="BE49" i="11"/>
  <c r="BR49" i="11" s="1"/>
  <c r="BT49" i="11" s="1"/>
  <c r="BZ49" i="11" s="1"/>
  <c r="CB49" i="11" s="1"/>
  <c r="CF49" i="11"/>
  <c r="CG49" i="11"/>
  <c r="CH49" i="11"/>
  <c r="CI49" i="11"/>
  <c r="CJ49" i="11" s="1"/>
  <c r="CL49" i="11"/>
  <c r="CM49" i="11"/>
  <c r="CN49" i="11"/>
  <c r="CP49" i="11"/>
  <c r="BE50" i="11"/>
  <c r="BR50" i="11" s="1"/>
  <c r="BT50" i="11"/>
  <c r="BZ50" i="11" s="1"/>
  <c r="CB50" i="11" s="1"/>
  <c r="CF50" i="11"/>
  <c r="CG50" i="11"/>
  <c r="CH50" i="11"/>
  <c r="CI50" i="11"/>
  <c r="CJ50" i="11" s="1"/>
  <c r="CL50" i="11"/>
  <c r="CM50" i="11"/>
  <c r="CN50" i="11"/>
  <c r="CP50" i="11"/>
  <c r="BE51" i="11"/>
  <c r="BR51" i="11" s="1"/>
  <c r="BT51" i="11" s="1"/>
  <c r="BZ51" i="11" s="1"/>
  <c r="CB51" i="11" s="1"/>
  <c r="CF51" i="11"/>
  <c r="CG51" i="11"/>
  <c r="CH51" i="11"/>
  <c r="CI51" i="11"/>
  <c r="CJ51" i="11" s="1"/>
  <c r="CL51" i="11"/>
  <c r="CM51" i="11"/>
  <c r="CN51" i="11"/>
  <c r="CP51" i="11"/>
  <c r="BE52" i="11"/>
  <c r="BR52" i="11" s="1"/>
  <c r="BT52" i="11"/>
  <c r="BZ52" i="11" s="1"/>
  <c r="CB52" i="11" s="1"/>
  <c r="CF52" i="11"/>
  <c r="CG52" i="11"/>
  <c r="CH52" i="11"/>
  <c r="CI52" i="11"/>
  <c r="CJ52" i="11" s="1"/>
  <c r="CL52" i="11"/>
  <c r="CM52" i="11"/>
  <c r="CN52" i="11"/>
  <c r="CP52" i="11"/>
  <c r="BE53" i="11"/>
  <c r="BR53" i="11" s="1"/>
  <c r="BT53" i="11" s="1"/>
  <c r="BZ53" i="11" s="1"/>
  <c r="CB53" i="11" s="1"/>
  <c r="CF53" i="11"/>
  <c r="CG53" i="11"/>
  <c r="CH53" i="11"/>
  <c r="CI53" i="11"/>
  <c r="CJ53" i="11" s="1"/>
  <c r="CL53" i="11"/>
  <c r="CM53" i="11"/>
  <c r="CN53" i="11"/>
  <c r="CP53" i="11"/>
  <c r="BE54" i="11"/>
  <c r="BR54" i="11" s="1"/>
  <c r="BT54" i="11"/>
  <c r="BZ54" i="11" s="1"/>
  <c r="CB54" i="11" s="1"/>
  <c r="CF54" i="11"/>
  <c r="CG54" i="11"/>
  <c r="CH54" i="11"/>
  <c r="CI54" i="11"/>
  <c r="CJ54" i="11" s="1"/>
  <c r="CL54" i="11"/>
  <c r="CM54" i="11"/>
  <c r="CN54" i="11"/>
  <c r="CP54" i="11"/>
  <c r="BE55" i="11"/>
  <c r="BR55" i="11" s="1"/>
  <c r="BT55" i="11" s="1"/>
  <c r="BZ55" i="11" s="1"/>
  <c r="CB55" i="11" s="1"/>
  <c r="CF55" i="11"/>
  <c r="CG55" i="11"/>
  <c r="CH55" i="11"/>
  <c r="CI55" i="11"/>
  <c r="CJ55" i="11" s="1"/>
  <c r="CL55" i="11"/>
  <c r="CM55" i="11"/>
  <c r="CN55" i="11"/>
  <c r="CP55" i="11"/>
  <c r="BE56" i="11"/>
  <c r="BR56" i="11" s="1"/>
  <c r="BT56" i="11"/>
  <c r="BZ56" i="11" s="1"/>
  <c r="CB56" i="11" s="1"/>
  <c r="CF56" i="11"/>
  <c r="CG56" i="11"/>
  <c r="CH56" i="11"/>
  <c r="CI56" i="11"/>
  <c r="CJ56" i="11" s="1"/>
  <c r="CL56" i="11"/>
  <c r="CM56" i="11"/>
  <c r="CN56" i="11"/>
  <c r="CP56" i="11"/>
  <c r="BE57" i="11"/>
  <c r="BR57" i="11" s="1"/>
  <c r="BT57" i="11" s="1"/>
  <c r="BZ57" i="11" s="1"/>
  <c r="CB57" i="11" s="1"/>
  <c r="CF57" i="11"/>
  <c r="CG57" i="11"/>
  <c r="CH57" i="11"/>
  <c r="CI57" i="11"/>
  <c r="CJ57" i="11" s="1"/>
  <c r="CL57" i="11"/>
  <c r="CM57" i="11"/>
  <c r="CN57" i="11"/>
  <c r="CP57" i="11"/>
  <c r="BE58" i="11"/>
  <c r="BR58" i="11" s="1"/>
  <c r="BT58" i="11"/>
  <c r="BZ58" i="11" s="1"/>
  <c r="CB58" i="11" s="1"/>
  <c r="CF58" i="11"/>
  <c r="CG58" i="11"/>
  <c r="CH58" i="11"/>
  <c r="CI58" i="11"/>
  <c r="CJ58" i="11" s="1"/>
  <c r="CL58" i="11"/>
  <c r="CM58" i="11"/>
  <c r="CN58" i="11"/>
  <c r="CP58" i="11"/>
  <c r="BE59" i="11"/>
  <c r="BR59" i="11" s="1"/>
  <c r="BT59" i="11" s="1"/>
  <c r="BZ59" i="11" s="1"/>
  <c r="CB59" i="11" s="1"/>
  <c r="CF59" i="11"/>
  <c r="CG59" i="11"/>
  <c r="CH59" i="11"/>
  <c r="CI59" i="11"/>
  <c r="CJ59" i="11" s="1"/>
  <c r="CL59" i="11"/>
  <c r="CM59" i="11"/>
  <c r="CN59" i="11"/>
  <c r="CP59" i="11"/>
  <c r="BE60" i="11"/>
  <c r="BR60" i="11" s="1"/>
  <c r="BT60" i="11"/>
  <c r="BZ60" i="11" s="1"/>
  <c r="CB60" i="11" s="1"/>
  <c r="CF60" i="11"/>
  <c r="CG60" i="11"/>
  <c r="CH60" i="11"/>
  <c r="CI60" i="11"/>
  <c r="CJ60" i="11" s="1"/>
  <c r="CL60" i="11"/>
  <c r="CM60" i="11"/>
  <c r="CN60" i="11"/>
  <c r="CP60" i="11"/>
  <c r="BA61" i="11"/>
  <c r="BE61" i="11" s="1"/>
  <c r="BR61" i="11" s="1"/>
  <c r="BT61" i="11" s="1"/>
  <c r="BZ61" i="11" s="1"/>
  <c r="CB61" i="11" s="1"/>
  <c r="CF61" i="11"/>
  <c r="CG61" i="11"/>
  <c r="CH61" i="11"/>
  <c r="CI61" i="11"/>
  <c r="CJ61" i="11" s="1"/>
  <c r="CL61" i="11"/>
  <c r="CM61" i="11"/>
  <c r="CN61" i="11"/>
  <c r="CP61" i="11"/>
  <c r="BE62" i="11"/>
  <c r="BR62" i="11"/>
  <c r="BT62" i="11" s="1"/>
  <c r="BV62" i="11"/>
  <c r="CF62" i="11"/>
  <c r="CG62" i="11"/>
  <c r="CH62" i="11"/>
  <c r="CI62" i="11"/>
  <c r="CJ62" i="11" s="1"/>
  <c r="CL62" i="11"/>
  <c r="CM62" i="11"/>
  <c r="CN62" i="11"/>
  <c r="CP62" i="11"/>
  <c r="BE63" i="11"/>
  <c r="BR63" i="11" s="1"/>
  <c r="BT63" i="11" s="1"/>
  <c r="BZ63" i="11" s="1"/>
  <c r="CB63" i="11" s="1"/>
  <c r="CF63" i="11"/>
  <c r="CG63" i="11"/>
  <c r="CH63" i="11"/>
  <c r="CI63" i="11"/>
  <c r="CJ63" i="11" s="1"/>
  <c r="CL63" i="11"/>
  <c r="CM63" i="11"/>
  <c r="CN63" i="11"/>
  <c r="CP63" i="11"/>
  <c r="BE64" i="11"/>
  <c r="BR64" i="11" s="1"/>
  <c r="BT64" i="11"/>
  <c r="BZ64" i="11" s="1"/>
  <c r="CB64" i="11" s="1"/>
  <c r="CF64" i="11"/>
  <c r="CG64" i="11"/>
  <c r="CH64" i="11"/>
  <c r="CI64" i="11"/>
  <c r="CJ64" i="11" s="1"/>
  <c r="CL64" i="11"/>
  <c r="CM64" i="11"/>
  <c r="CN64" i="11"/>
  <c r="CP64" i="11"/>
  <c r="U14" i="2"/>
  <c r="W14" i="2"/>
  <c r="AV14" i="2" s="1"/>
  <c r="AT14" i="2"/>
  <c r="AZ14" i="2"/>
  <c r="BA14" i="2"/>
  <c r="BB14" i="2"/>
  <c r="BC14" i="2"/>
  <c r="BE14" i="2"/>
  <c r="BF14" i="2"/>
  <c r="BH14" i="2"/>
  <c r="U15" i="2"/>
  <c r="W15" i="2" s="1"/>
  <c r="AT15" i="2"/>
  <c r="AZ15" i="2"/>
  <c r="BC15" i="2" s="1"/>
  <c r="BA15" i="2"/>
  <c r="BB15" i="2"/>
  <c r="BE15" i="2"/>
  <c r="BF15" i="2"/>
  <c r="BH15" i="2"/>
  <c r="U16" i="2"/>
  <c r="W16" i="2"/>
  <c r="AT16" i="2"/>
  <c r="AV16" i="2"/>
  <c r="AZ16" i="2"/>
  <c r="BA16" i="2"/>
  <c r="BB16" i="2"/>
  <c r="BC16" i="2"/>
  <c r="BE16" i="2"/>
  <c r="BF16" i="2"/>
  <c r="BH16" i="2"/>
  <c r="U17" i="2"/>
  <c r="W17" i="2" s="1"/>
  <c r="AT17" i="2"/>
  <c r="AZ17" i="2"/>
  <c r="BC17" i="2" s="1"/>
  <c r="BA17" i="2"/>
  <c r="BB17" i="2"/>
  <c r="BE17" i="2"/>
  <c r="BF17" i="2"/>
  <c r="BH17" i="2"/>
  <c r="U18" i="2"/>
  <c r="W18" i="2"/>
  <c r="AV18" i="2" s="1"/>
  <c r="AT18" i="2"/>
  <c r="AZ18" i="2"/>
  <c r="BA18" i="2"/>
  <c r="BB18" i="2"/>
  <c r="BC18" i="2"/>
  <c r="BE18" i="2"/>
  <c r="BF18" i="2"/>
  <c r="BH18" i="2"/>
  <c r="I19" i="2"/>
  <c r="U19" i="2"/>
  <c r="W19" i="2"/>
  <c r="AV19" i="2" s="1"/>
  <c r="AT19" i="2"/>
  <c r="AZ19" i="2"/>
  <c r="BA19" i="2"/>
  <c r="BB19" i="2"/>
  <c r="BC19" i="2"/>
  <c r="BE19" i="2"/>
  <c r="BF19" i="2"/>
  <c r="BH19" i="2"/>
  <c r="W20" i="2"/>
  <c r="AT20" i="2"/>
  <c r="AV20" i="2"/>
  <c r="AZ20" i="2"/>
  <c r="BA20" i="2"/>
  <c r="BB20" i="2"/>
  <c r="BC20" i="2"/>
  <c r="BE20" i="2"/>
  <c r="BF20" i="2"/>
  <c r="BH20" i="2"/>
  <c r="U21" i="2"/>
  <c r="W21" i="2" s="1"/>
  <c r="AT21" i="2"/>
  <c r="AV21" i="2" s="1"/>
  <c r="AZ21" i="2"/>
  <c r="BC21" i="2" s="1"/>
  <c r="BA21" i="2"/>
  <c r="BB21" i="2"/>
  <c r="BE21" i="2"/>
  <c r="BF21" i="2"/>
  <c r="BH21" i="2"/>
  <c r="W22" i="2"/>
  <c r="AT22" i="2"/>
  <c r="AV22" i="2" s="1"/>
  <c r="AZ22" i="2"/>
  <c r="BC22" i="2" s="1"/>
  <c r="BA22" i="2"/>
  <c r="BB22" i="2"/>
  <c r="BE22" i="2"/>
  <c r="BF22" i="2"/>
  <c r="BH22" i="2"/>
  <c r="I23" i="2"/>
  <c r="M23" i="2"/>
  <c r="U23" i="2"/>
  <c r="W23" i="2"/>
  <c r="AV23" i="2" s="1"/>
  <c r="AT23" i="2"/>
  <c r="AZ23" i="2"/>
  <c r="BA23" i="2"/>
  <c r="BB23" i="2"/>
  <c r="BC23" i="2"/>
  <c r="BE23" i="2"/>
  <c r="BF23" i="2"/>
  <c r="BH23" i="2"/>
  <c r="U24" i="2"/>
  <c r="W24" i="2" s="1"/>
  <c r="AT24" i="2"/>
  <c r="AV24" i="2" s="1"/>
  <c r="AZ24" i="2"/>
  <c r="BC24" i="2" s="1"/>
  <c r="BA24" i="2"/>
  <c r="BB24" i="2"/>
  <c r="BE24" i="2"/>
  <c r="BF24" i="2"/>
  <c r="BH24" i="2"/>
  <c r="I25" i="2"/>
  <c r="M25" i="2"/>
  <c r="U25" i="2"/>
  <c r="W25" i="2"/>
  <c r="AV25" i="2" s="1"/>
  <c r="AT25" i="2"/>
  <c r="AZ25" i="2"/>
  <c r="BA25" i="2"/>
  <c r="BB25" i="2"/>
  <c r="BC25" i="2"/>
  <c r="BE25" i="2"/>
  <c r="BF25" i="2"/>
  <c r="BH25" i="2"/>
  <c r="I26" i="2"/>
  <c r="W26" i="2" s="1"/>
  <c r="M26" i="2"/>
  <c r="U26" i="2"/>
  <c r="AT26" i="2"/>
  <c r="AZ26" i="2"/>
  <c r="BC26" i="2" s="1"/>
  <c r="BA26" i="2"/>
  <c r="BB26" i="2"/>
  <c r="BE26" i="2"/>
  <c r="BF26" i="2"/>
  <c r="BH26" i="2"/>
  <c r="U27" i="2"/>
  <c r="W27" i="2"/>
  <c r="AV27" i="2" s="1"/>
  <c r="AT27" i="2"/>
  <c r="AZ27" i="2"/>
  <c r="BA27" i="2"/>
  <c r="BB27" i="2"/>
  <c r="BC27" i="2"/>
  <c r="BE27" i="2"/>
  <c r="BF27" i="2"/>
  <c r="BH27" i="2"/>
  <c r="M28" i="2"/>
  <c r="U28" i="2"/>
  <c r="W28" i="2"/>
  <c r="AV28" i="2" s="1"/>
  <c r="AT28" i="2"/>
  <c r="AZ28" i="2"/>
  <c r="BA28" i="2"/>
  <c r="BB28" i="2"/>
  <c r="BC28" i="2"/>
  <c r="BE28" i="2"/>
  <c r="BF28" i="2"/>
  <c r="BH28" i="2"/>
  <c r="U29" i="2"/>
  <c r="W29" i="2" s="1"/>
  <c r="AT29" i="2"/>
  <c r="AV29" i="2" s="1"/>
  <c r="AZ29" i="2"/>
  <c r="BC29" i="2" s="1"/>
  <c r="BA29" i="2"/>
  <c r="BB29" i="2"/>
  <c r="BE29" i="2"/>
  <c r="BF29" i="2"/>
  <c r="BH29" i="2"/>
  <c r="U30" i="2"/>
  <c r="W30" i="2"/>
  <c r="AT30" i="2"/>
  <c r="AV30" i="2"/>
  <c r="AZ30" i="2"/>
  <c r="BA30" i="2"/>
  <c r="BB30" i="2"/>
  <c r="BC30" i="2"/>
  <c r="BE30" i="2"/>
  <c r="BF30" i="2"/>
  <c r="BH30" i="2"/>
  <c r="M31" i="2"/>
  <c r="W31" i="2" s="1"/>
  <c r="AT31" i="2"/>
  <c r="AZ31" i="2"/>
  <c r="BC31" i="2" s="1"/>
  <c r="BA31" i="2"/>
  <c r="BB31" i="2"/>
  <c r="BE31" i="2"/>
  <c r="BF31" i="2"/>
  <c r="BH31" i="2"/>
  <c r="M32" i="2"/>
  <c r="W32" i="2"/>
  <c r="AV32" i="2" s="1"/>
  <c r="AT32" i="2"/>
  <c r="AZ32" i="2"/>
  <c r="BA32" i="2"/>
  <c r="BB32" i="2"/>
  <c r="BC32" i="2"/>
  <c r="BE32" i="2"/>
  <c r="BF32" i="2"/>
  <c r="BH32" i="2"/>
  <c r="M33" i="2"/>
  <c r="W33" i="2" s="1"/>
  <c r="AT33" i="2"/>
  <c r="AV33" i="2" s="1"/>
  <c r="AZ33" i="2"/>
  <c r="BC33" i="2" s="1"/>
  <c r="BA33" i="2"/>
  <c r="BB33" i="2"/>
  <c r="BE33" i="2"/>
  <c r="BF33" i="2"/>
  <c r="BH33" i="2"/>
  <c r="M34" i="2"/>
  <c r="W34" i="2"/>
  <c r="AT34" i="2"/>
  <c r="AV34" i="2"/>
  <c r="AZ34" i="2"/>
  <c r="BA34" i="2"/>
  <c r="BB34" i="2"/>
  <c r="BC34" i="2"/>
  <c r="BE34" i="2"/>
  <c r="BF34" i="2"/>
  <c r="BH34" i="2"/>
  <c r="M35" i="2"/>
  <c r="W35" i="2" s="1"/>
  <c r="AT35" i="2"/>
  <c r="AV35" i="2" s="1"/>
  <c r="AZ35" i="2"/>
  <c r="BC35" i="2" s="1"/>
  <c r="BA35" i="2"/>
  <c r="BB35" i="2"/>
  <c r="BE35" i="2"/>
  <c r="BF35" i="2"/>
  <c r="BH35" i="2"/>
  <c r="W36" i="2"/>
  <c r="AT36" i="2"/>
  <c r="AV36" i="2" s="1"/>
  <c r="AZ36" i="2"/>
  <c r="BC36" i="2" s="1"/>
  <c r="BA36" i="2"/>
  <c r="BB36" i="2"/>
  <c r="BE36" i="2"/>
  <c r="BF36" i="2"/>
  <c r="BH36" i="2"/>
  <c r="M37" i="2"/>
  <c r="W37" i="2"/>
  <c r="AT37" i="2"/>
  <c r="AV37" i="2"/>
  <c r="AZ37" i="2"/>
  <c r="BA37" i="2"/>
  <c r="BB37" i="2"/>
  <c r="BC37" i="2"/>
  <c r="BE37" i="2"/>
  <c r="BF37" i="2"/>
  <c r="BH37" i="2"/>
  <c r="M38" i="2"/>
  <c r="W38" i="2" s="1"/>
  <c r="AT38" i="2"/>
  <c r="AZ38" i="2"/>
  <c r="BC38" i="2" s="1"/>
  <c r="BA38" i="2"/>
  <c r="BB38" i="2"/>
  <c r="BE38" i="2"/>
  <c r="BF38" i="2"/>
  <c r="BH38" i="2"/>
  <c r="M39" i="2"/>
  <c r="W39" i="2"/>
  <c r="AV39" i="2" s="1"/>
  <c r="AT39" i="2"/>
  <c r="AZ39" i="2"/>
  <c r="BA39" i="2"/>
  <c r="BB39" i="2"/>
  <c r="BC39" i="2"/>
  <c r="BE39" i="2"/>
  <c r="BF39" i="2"/>
  <c r="BH39" i="2"/>
  <c r="M40" i="2"/>
  <c r="W40" i="2" s="1"/>
  <c r="AT40" i="2"/>
  <c r="AV40" i="2" s="1"/>
  <c r="AZ40" i="2"/>
  <c r="BC40" i="2" s="1"/>
  <c r="BA40" i="2"/>
  <c r="BB40" i="2"/>
  <c r="BE40" i="2"/>
  <c r="BF40" i="2"/>
  <c r="BH40" i="2"/>
  <c r="M41" i="2"/>
  <c r="W41" i="2"/>
  <c r="AT41" i="2"/>
  <c r="AV41" i="2"/>
  <c r="AZ41" i="2"/>
  <c r="BA41" i="2"/>
  <c r="BB41" i="2"/>
  <c r="BC41" i="2"/>
  <c r="BE41" i="2"/>
  <c r="BF41" i="2"/>
  <c r="BH41" i="2"/>
  <c r="M42" i="2"/>
  <c r="W42" i="2" s="1"/>
  <c r="AT42" i="2"/>
  <c r="AV42" i="2" s="1"/>
  <c r="AZ42" i="2"/>
  <c r="BC42" i="2" s="1"/>
  <c r="BA42" i="2"/>
  <c r="BB42" i="2"/>
  <c r="BE42" i="2"/>
  <c r="BF42" i="2"/>
  <c r="BH42" i="2"/>
  <c r="M43" i="2"/>
  <c r="W43" i="2"/>
  <c r="AV43" i="2" s="1"/>
  <c r="AT43" i="2"/>
  <c r="AZ43" i="2"/>
  <c r="BA43" i="2"/>
  <c r="BB43" i="2"/>
  <c r="BC43" i="2"/>
  <c r="BE43" i="2"/>
  <c r="BF43" i="2"/>
  <c r="BH43" i="2"/>
  <c r="I44" i="2"/>
  <c r="W44" i="2" s="1"/>
  <c r="M44" i="2"/>
  <c r="U44" i="2"/>
  <c r="AT44" i="2"/>
  <c r="AZ44" i="2"/>
  <c r="BC44" i="2" s="1"/>
  <c r="BA44" i="2"/>
  <c r="BB44" i="2"/>
  <c r="BE44" i="2"/>
  <c r="BF44" i="2"/>
  <c r="BH44" i="2"/>
  <c r="M45" i="2"/>
  <c r="W45" i="2"/>
  <c r="AV45" i="2" s="1"/>
  <c r="AT45" i="2"/>
  <c r="AZ45" i="2"/>
  <c r="BA45" i="2"/>
  <c r="BB45" i="2"/>
  <c r="BC45" i="2"/>
  <c r="BE45" i="2"/>
  <c r="BF45" i="2"/>
  <c r="BH45" i="2"/>
  <c r="M46" i="2"/>
  <c r="W46" i="2" s="1"/>
  <c r="AT46" i="2"/>
  <c r="AZ46" i="2"/>
  <c r="BC46" i="2" s="1"/>
  <c r="BA46" i="2"/>
  <c r="BB46" i="2"/>
  <c r="BE46" i="2"/>
  <c r="BF46" i="2"/>
  <c r="BH46" i="2"/>
  <c r="I47" i="2"/>
  <c r="M47" i="2"/>
  <c r="W47" i="2" s="1"/>
  <c r="AT47" i="2"/>
  <c r="AZ47" i="2"/>
  <c r="BC47" i="2" s="1"/>
  <c r="BA47" i="2"/>
  <c r="BB47" i="2"/>
  <c r="BE47" i="2"/>
  <c r="BF47" i="2"/>
  <c r="BH47" i="2"/>
  <c r="M48" i="2"/>
  <c r="W48" i="2"/>
  <c r="AT48" i="2"/>
  <c r="AV48" i="2"/>
  <c r="AZ48" i="2"/>
  <c r="BA48" i="2"/>
  <c r="BB48" i="2"/>
  <c r="BC48" i="2"/>
  <c r="BE48" i="2"/>
  <c r="BF48" i="2"/>
  <c r="BH48" i="2"/>
  <c r="M49" i="2"/>
  <c r="W49" i="2" s="1"/>
  <c r="AT49" i="2"/>
  <c r="AZ49" i="2"/>
  <c r="BC49" i="2" s="1"/>
  <c r="BA49" i="2"/>
  <c r="BB49" i="2"/>
  <c r="BE49" i="2"/>
  <c r="BF49" i="2"/>
  <c r="BH49" i="2"/>
  <c r="U50" i="2"/>
  <c r="W50" i="2"/>
  <c r="AV50" i="2" s="1"/>
  <c r="AT50" i="2"/>
  <c r="AZ50" i="2"/>
  <c r="BA50" i="2"/>
  <c r="BB50" i="2"/>
  <c r="BC50" i="2"/>
  <c r="BE50" i="2"/>
  <c r="BF50" i="2"/>
  <c r="BH50" i="2"/>
  <c r="U51" i="2"/>
  <c r="W51" i="2" s="1"/>
  <c r="AT51" i="2"/>
  <c r="AV51" i="2" s="1"/>
  <c r="AZ51" i="2"/>
  <c r="BC51" i="2" s="1"/>
  <c r="BA51" i="2"/>
  <c r="BB51" i="2"/>
  <c r="BE51" i="2"/>
  <c r="BF51" i="2"/>
  <c r="BH51" i="2"/>
  <c r="U52" i="2"/>
  <c r="W52" i="2"/>
  <c r="AT52" i="2"/>
  <c r="AV52" i="2"/>
  <c r="AZ52" i="2"/>
  <c r="BA52" i="2"/>
  <c r="BB52" i="2"/>
  <c r="BC52" i="2"/>
  <c r="BE52" i="2"/>
  <c r="BF52" i="2"/>
  <c r="BH52" i="2"/>
  <c r="I53" i="2"/>
  <c r="W53" i="2" s="1"/>
  <c r="AV53" i="2" s="1"/>
  <c r="U53" i="2"/>
  <c r="AT53" i="2"/>
  <c r="AZ53" i="2"/>
  <c r="BA53" i="2"/>
  <c r="BB53" i="2"/>
  <c r="BC53" i="2"/>
  <c r="BE53" i="2"/>
  <c r="BF53" i="2"/>
  <c r="BH53" i="2"/>
  <c r="U54" i="2"/>
  <c r="W54" i="2" s="1"/>
  <c r="AT54" i="2"/>
  <c r="AV54" i="2" s="1"/>
  <c r="AZ54" i="2"/>
  <c r="BC54" i="2" s="1"/>
  <c r="BA54" i="2"/>
  <c r="BB54" i="2"/>
  <c r="BE54" i="2"/>
  <c r="BF54" i="2"/>
  <c r="BH54" i="2"/>
  <c r="U55" i="2"/>
  <c r="W55" i="2"/>
  <c r="AV55" i="2" s="1"/>
  <c r="AT55" i="2"/>
  <c r="AZ55" i="2"/>
  <c r="BA55" i="2"/>
  <c r="BB55" i="2"/>
  <c r="BC55" i="2"/>
  <c r="BE55" i="2"/>
  <c r="BF55" i="2"/>
  <c r="BH55" i="2"/>
  <c r="U56" i="2"/>
  <c r="W56" i="2" s="1"/>
  <c r="AT56" i="2"/>
  <c r="AZ56" i="2"/>
  <c r="BC56" i="2" s="1"/>
  <c r="BA56" i="2"/>
  <c r="BB56" i="2"/>
  <c r="BE56" i="2"/>
  <c r="BF56" i="2"/>
  <c r="BH56" i="2"/>
  <c r="I57" i="2"/>
  <c r="U57" i="2"/>
  <c r="W57" i="2" s="1"/>
  <c r="AT57" i="2"/>
  <c r="AV57" i="2" s="1"/>
  <c r="AZ57" i="2"/>
  <c r="BC57" i="2" s="1"/>
  <c r="BA57" i="2"/>
  <c r="BB57" i="2"/>
  <c r="BE57" i="2"/>
  <c r="BF57" i="2"/>
  <c r="BH57" i="2"/>
  <c r="U58" i="2"/>
  <c r="W58" i="2"/>
  <c r="AT58" i="2"/>
  <c r="AV58" i="2"/>
  <c r="AZ58" i="2"/>
  <c r="BA58" i="2"/>
  <c r="BB58" i="2"/>
  <c r="BC58" i="2"/>
  <c r="BE58" i="2"/>
  <c r="BF58" i="2"/>
  <c r="BH58" i="2"/>
  <c r="U59" i="2"/>
  <c r="W59" i="2" s="1"/>
  <c r="AT59" i="2"/>
  <c r="AZ59" i="2"/>
  <c r="BC59" i="2" s="1"/>
  <c r="BA59" i="2"/>
  <c r="BB59" i="2"/>
  <c r="BE59" i="2"/>
  <c r="BF59" i="2"/>
  <c r="BH59" i="2"/>
  <c r="U60" i="2"/>
  <c r="W60" i="2"/>
  <c r="AV60" i="2" s="1"/>
  <c r="AT60" i="2"/>
  <c r="AZ60" i="2"/>
  <c r="BA60" i="2"/>
  <c r="BB60" i="2"/>
  <c r="BC60" i="2"/>
  <c r="BE60" i="2"/>
  <c r="BF60" i="2"/>
  <c r="BH60" i="2"/>
  <c r="I61" i="2"/>
  <c r="W61" i="2" s="1"/>
  <c r="M61" i="2"/>
  <c r="U61" i="2"/>
  <c r="AC61" i="2"/>
  <c r="AT61" i="2" s="1"/>
  <c r="AZ61" i="2"/>
  <c r="BA61" i="2"/>
  <c r="BB61" i="2"/>
  <c r="BC61" i="2"/>
  <c r="BE61" i="2"/>
  <c r="BF61" i="2"/>
  <c r="BH61" i="2"/>
  <c r="U62" i="2"/>
  <c r="W62" i="2" s="1"/>
  <c r="AT62" i="2"/>
  <c r="AV62" i="2" s="1"/>
  <c r="AZ62" i="2"/>
  <c r="BC62" i="2" s="1"/>
  <c r="BA62" i="2"/>
  <c r="BB62" i="2"/>
  <c r="BE62" i="2"/>
  <c r="BF62" i="2"/>
  <c r="BH62" i="2"/>
  <c r="U63" i="2"/>
  <c r="W63" i="2"/>
  <c r="AV63" i="2" s="1"/>
  <c r="AT63" i="2"/>
  <c r="AZ63" i="2"/>
  <c r="BA63" i="2"/>
  <c r="BB63" i="2"/>
  <c r="BC63" i="2"/>
  <c r="BE63" i="2"/>
  <c r="BF63" i="2"/>
  <c r="BH63" i="2"/>
  <c r="U64" i="2"/>
  <c r="W64" i="2" s="1"/>
  <c r="AT64" i="2"/>
  <c r="AZ64" i="2"/>
  <c r="BC64" i="2" s="1"/>
  <c r="BA64" i="2"/>
  <c r="BB64" i="2"/>
  <c r="BE64" i="2"/>
  <c r="BF64" i="2"/>
  <c r="BH64" i="2"/>
  <c r="BB14" i="4"/>
  <c r="BO14" i="4"/>
  <c r="CC14" i="4"/>
  <c r="CD14" i="4"/>
  <c r="CE14" i="4"/>
  <c r="CF14" i="4"/>
  <c r="CG14" i="4" s="1"/>
  <c r="CI14" i="4"/>
  <c r="CJ14" i="4"/>
  <c r="CK14" i="4"/>
  <c r="CM14" i="4"/>
  <c r="O15" i="4"/>
  <c r="BB15" i="4"/>
  <c r="BO15" i="4" s="1"/>
  <c r="CC15" i="4"/>
  <c r="CD15" i="4"/>
  <c r="CE15" i="4"/>
  <c r="CF15" i="4"/>
  <c r="CG15" i="4" s="1"/>
  <c r="CI15" i="4"/>
  <c r="CJ15" i="4"/>
  <c r="CK15" i="4"/>
  <c r="CM15" i="4"/>
  <c r="BB16" i="4"/>
  <c r="BO16" i="4" s="1"/>
  <c r="CC16" i="4"/>
  <c r="CD16" i="4"/>
  <c r="CE16" i="4"/>
  <c r="CF16" i="4"/>
  <c r="CG16" i="4" s="1"/>
  <c r="CI16" i="4"/>
  <c r="CJ16" i="4"/>
  <c r="CK16" i="4"/>
  <c r="CM16" i="4"/>
  <c r="BB17" i="4"/>
  <c r="BO17" i="4" s="1"/>
  <c r="CC17" i="4"/>
  <c r="CD17" i="4"/>
  <c r="CE17" i="4"/>
  <c r="CF17" i="4"/>
  <c r="CG17" i="4" s="1"/>
  <c r="CI17" i="4"/>
  <c r="CJ17" i="4"/>
  <c r="CK17" i="4"/>
  <c r="CM17" i="4"/>
  <c r="BB18" i="4"/>
  <c r="BO18" i="4" s="1"/>
  <c r="CC18" i="4"/>
  <c r="CD18" i="4"/>
  <c r="CE18" i="4"/>
  <c r="CF18" i="4"/>
  <c r="CG18" i="4" s="1"/>
  <c r="CI18" i="4"/>
  <c r="CJ18" i="4"/>
  <c r="CK18" i="4"/>
  <c r="CM18" i="4"/>
  <c r="BB19" i="4"/>
  <c r="BO19" i="4" s="1"/>
  <c r="CC19" i="4"/>
  <c r="CD19" i="4"/>
  <c r="CE19" i="4"/>
  <c r="CF19" i="4"/>
  <c r="CG19" i="4" s="1"/>
  <c r="CI19" i="4"/>
  <c r="CJ19" i="4"/>
  <c r="CK19" i="4"/>
  <c r="CM19" i="4"/>
  <c r="BB20" i="4"/>
  <c r="BO20" i="4" s="1"/>
  <c r="CC20" i="4"/>
  <c r="CD20" i="4"/>
  <c r="CE20" i="4"/>
  <c r="CF20" i="4"/>
  <c r="CG20" i="4" s="1"/>
  <c r="CI20" i="4"/>
  <c r="CJ20" i="4"/>
  <c r="CK20" i="4"/>
  <c r="CM20" i="4"/>
  <c r="BB21" i="4"/>
  <c r="BO21" i="4" s="1"/>
  <c r="CC21" i="4"/>
  <c r="CD21" i="4"/>
  <c r="CE21" i="4"/>
  <c r="CF21" i="4"/>
  <c r="CG21" i="4" s="1"/>
  <c r="CI21" i="4"/>
  <c r="CJ21" i="4"/>
  <c r="CK21" i="4"/>
  <c r="CM21" i="4"/>
  <c r="BB22" i="4"/>
  <c r="BO22" i="4" s="1"/>
  <c r="CC22" i="4"/>
  <c r="CD22" i="4"/>
  <c r="CE22" i="4"/>
  <c r="CF22" i="4"/>
  <c r="CG22" i="4" s="1"/>
  <c r="CI22" i="4"/>
  <c r="CJ22" i="4"/>
  <c r="CK22" i="4"/>
  <c r="CM22" i="4"/>
  <c r="BB23" i="4"/>
  <c r="BO23" i="4" s="1"/>
  <c r="CC23" i="4"/>
  <c r="CD23" i="4"/>
  <c r="CE23" i="4"/>
  <c r="CF23" i="4"/>
  <c r="CG23" i="4" s="1"/>
  <c r="CI23" i="4"/>
  <c r="CJ23" i="4"/>
  <c r="CK23" i="4"/>
  <c r="CM23" i="4"/>
  <c r="BB24" i="4"/>
  <c r="BO24" i="4" s="1"/>
  <c r="CC24" i="4"/>
  <c r="CD24" i="4"/>
  <c r="CE24" i="4"/>
  <c r="CF24" i="4"/>
  <c r="CG24" i="4" s="1"/>
  <c r="CI24" i="4"/>
  <c r="CJ24" i="4"/>
  <c r="CK24" i="4"/>
  <c r="CM24" i="4"/>
  <c r="AP25" i="4"/>
  <c r="BB25" i="4" s="1"/>
  <c r="BO25" i="4" s="1"/>
  <c r="AT25" i="4"/>
  <c r="CC25" i="4"/>
  <c r="CD25" i="4"/>
  <c r="CE25" i="4"/>
  <c r="CF25" i="4"/>
  <c r="CG25" i="4" s="1"/>
  <c r="CI25" i="4"/>
  <c r="CJ25" i="4"/>
  <c r="CK25" i="4"/>
  <c r="CM25" i="4"/>
  <c r="BB26" i="4"/>
  <c r="BO26" i="4" s="1"/>
  <c r="CC26" i="4"/>
  <c r="CD26" i="4"/>
  <c r="CE26" i="4"/>
  <c r="CF26" i="4"/>
  <c r="CG26" i="4" s="1"/>
  <c r="CI26" i="4"/>
  <c r="CJ26" i="4"/>
  <c r="CK26" i="4"/>
  <c r="CM26" i="4"/>
  <c r="BB27" i="4"/>
  <c r="BO27" i="4" s="1"/>
  <c r="CC27" i="4"/>
  <c r="CD27" i="4"/>
  <c r="CE27" i="4"/>
  <c r="CF27" i="4"/>
  <c r="CG27" i="4" s="1"/>
  <c r="CI27" i="4"/>
  <c r="CJ27" i="4"/>
  <c r="CK27" i="4"/>
  <c r="CM27" i="4"/>
  <c r="BB28" i="4"/>
  <c r="BO28" i="4" s="1"/>
  <c r="CC28" i="4"/>
  <c r="CD28" i="4"/>
  <c r="CE28" i="4"/>
  <c r="CF28" i="4"/>
  <c r="CG28" i="4" s="1"/>
  <c r="CI28" i="4"/>
  <c r="CJ28" i="4"/>
  <c r="CK28" i="4"/>
  <c r="CM28" i="4"/>
  <c r="BB29" i="4"/>
  <c r="BO29" i="4" s="1"/>
  <c r="CC29" i="4"/>
  <c r="CD29" i="4"/>
  <c r="CE29" i="4"/>
  <c r="CF29" i="4"/>
  <c r="CG29" i="4" s="1"/>
  <c r="CI29" i="4"/>
  <c r="CJ29" i="4"/>
  <c r="CK29" i="4"/>
  <c r="CM29" i="4"/>
  <c r="BB30" i="4"/>
  <c r="BO30" i="4" s="1"/>
  <c r="CC30" i="4"/>
  <c r="CD30" i="4"/>
  <c r="CE30" i="4"/>
  <c r="CF30" i="4"/>
  <c r="CG30" i="4" s="1"/>
  <c r="CI30" i="4"/>
  <c r="CJ30" i="4"/>
  <c r="CK30" i="4"/>
  <c r="CM30" i="4"/>
  <c r="BB31" i="4"/>
  <c r="BO31" i="4" s="1"/>
  <c r="BQ31" i="4" s="1"/>
  <c r="BW31" i="4" s="1"/>
  <c r="BY31" i="4" s="1"/>
  <c r="CC31" i="4"/>
  <c r="CD31" i="4"/>
  <c r="CE31" i="4"/>
  <c r="CF31" i="4"/>
  <c r="CG31" i="4" s="1"/>
  <c r="CI31" i="4"/>
  <c r="CJ31" i="4"/>
  <c r="CK31" i="4"/>
  <c r="CM31" i="4"/>
  <c r="BB32" i="4"/>
  <c r="BO32" i="4" s="1"/>
  <c r="CC32" i="4"/>
  <c r="CD32" i="4"/>
  <c r="CE32" i="4"/>
  <c r="CF32" i="4"/>
  <c r="CG32" i="4" s="1"/>
  <c r="CI32" i="4"/>
  <c r="CJ32" i="4"/>
  <c r="CK32" i="4"/>
  <c r="CM32" i="4"/>
  <c r="BB33" i="4"/>
  <c r="BO33" i="4" s="1"/>
  <c r="CC33" i="4"/>
  <c r="CD33" i="4"/>
  <c r="CE33" i="4"/>
  <c r="CF33" i="4"/>
  <c r="CG33" i="4" s="1"/>
  <c r="CI33" i="4"/>
  <c r="CJ33" i="4"/>
  <c r="CK33" i="4"/>
  <c r="CM33" i="4"/>
  <c r="BB34" i="4"/>
  <c r="BO34" i="4" s="1"/>
  <c r="CC34" i="4"/>
  <c r="CD34" i="4"/>
  <c r="CE34" i="4"/>
  <c r="CF34" i="4"/>
  <c r="CG34" i="4" s="1"/>
  <c r="CI34" i="4"/>
  <c r="CJ34" i="4"/>
  <c r="CK34" i="4"/>
  <c r="CM34" i="4"/>
  <c r="BB35" i="4"/>
  <c r="BO35" i="4" s="1"/>
  <c r="CC35" i="4"/>
  <c r="CD35" i="4"/>
  <c r="CE35" i="4"/>
  <c r="CF35" i="4"/>
  <c r="CG35" i="4" s="1"/>
  <c r="CI35" i="4"/>
  <c r="CJ35" i="4"/>
  <c r="CK35" i="4"/>
  <c r="CM35" i="4"/>
  <c r="BB36" i="4"/>
  <c r="BO36" i="4" s="1"/>
  <c r="BQ36" i="4"/>
  <c r="BW36" i="4" s="1"/>
  <c r="BY36" i="4" s="1"/>
  <c r="CC36" i="4"/>
  <c r="CD36" i="4"/>
  <c r="CE36" i="4"/>
  <c r="CF36" i="4"/>
  <c r="CG36" i="4" s="1"/>
  <c r="CI36" i="4"/>
  <c r="CJ36" i="4"/>
  <c r="CK36" i="4"/>
  <c r="CM36" i="4"/>
  <c r="BB37" i="4"/>
  <c r="BO37" i="4" s="1"/>
  <c r="BQ37" i="4" s="1"/>
  <c r="BW37" i="4" s="1"/>
  <c r="BY37" i="4" s="1"/>
  <c r="CC37" i="4"/>
  <c r="CD37" i="4"/>
  <c r="CE37" i="4"/>
  <c r="CF37" i="4"/>
  <c r="CG37" i="4" s="1"/>
  <c r="CI37" i="4"/>
  <c r="CJ37" i="4"/>
  <c r="CK37" i="4"/>
  <c r="CM37" i="4"/>
  <c r="BB38" i="4"/>
  <c r="BO38" i="4" s="1"/>
  <c r="CC38" i="4"/>
  <c r="CD38" i="4"/>
  <c r="CE38" i="4"/>
  <c r="CF38" i="4"/>
  <c r="CG38" i="4" s="1"/>
  <c r="CI38" i="4"/>
  <c r="CJ38" i="4"/>
  <c r="CK38" i="4"/>
  <c r="CM38" i="4"/>
  <c r="BB39" i="4"/>
  <c r="BO39" i="4" s="1"/>
  <c r="CC39" i="4"/>
  <c r="CD39" i="4"/>
  <c r="CE39" i="4"/>
  <c r="CF39" i="4"/>
  <c r="CG39" i="4" s="1"/>
  <c r="CI39" i="4"/>
  <c r="CJ39" i="4"/>
  <c r="CK39" i="4"/>
  <c r="CM39" i="4"/>
  <c r="BB40" i="4"/>
  <c r="BO40" i="4" s="1"/>
  <c r="CC40" i="4"/>
  <c r="CD40" i="4"/>
  <c r="CE40" i="4"/>
  <c r="CF40" i="4"/>
  <c r="CG40" i="4" s="1"/>
  <c r="CI40" i="4"/>
  <c r="CJ40" i="4"/>
  <c r="CK40" i="4"/>
  <c r="CM40" i="4"/>
  <c r="BB41" i="4"/>
  <c r="BO41" i="4" s="1"/>
  <c r="CC41" i="4"/>
  <c r="CD41" i="4"/>
  <c r="CE41" i="4"/>
  <c r="CF41" i="4"/>
  <c r="CG41" i="4" s="1"/>
  <c r="CI41" i="4"/>
  <c r="CJ41" i="4"/>
  <c r="CK41" i="4"/>
  <c r="CM41" i="4"/>
  <c r="BB42" i="4"/>
  <c r="BO42" i="4" s="1"/>
  <c r="CC42" i="4"/>
  <c r="CD42" i="4"/>
  <c r="CE42" i="4"/>
  <c r="CF42" i="4"/>
  <c r="CG42" i="4" s="1"/>
  <c r="CI42" i="4"/>
  <c r="CJ42" i="4"/>
  <c r="CK42" i="4"/>
  <c r="CM42" i="4"/>
  <c r="BB43" i="4"/>
  <c r="BO43" i="4" s="1"/>
  <c r="CC43" i="4"/>
  <c r="CD43" i="4"/>
  <c r="CE43" i="4"/>
  <c r="CF43" i="4"/>
  <c r="CG43" i="4" s="1"/>
  <c r="CI43" i="4"/>
  <c r="CJ43" i="4"/>
  <c r="CK43" i="4"/>
  <c r="CM43" i="4"/>
  <c r="BB44" i="4"/>
  <c r="BO44" i="4" s="1"/>
  <c r="CC44" i="4"/>
  <c r="CD44" i="4"/>
  <c r="CE44" i="4"/>
  <c r="CF44" i="4"/>
  <c r="CG44" i="4" s="1"/>
  <c r="CI44" i="4"/>
  <c r="CJ44" i="4"/>
  <c r="CK44" i="4"/>
  <c r="CM44" i="4"/>
  <c r="BB45" i="4"/>
  <c r="BO45" i="4" s="1"/>
  <c r="CC45" i="4"/>
  <c r="CD45" i="4"/>
  <c r="CE45" i="4"/>
  <c r="CF45" i="4"/>
  <c r="CG45" i="4" s="1"/>
  <c r="CI45" i="4"/>
  <c r="CJ45" i="4"/>
  <c r="CK45" i="4"/>
  <c r="CM45" i="4"/>
  <c r="BB46" i="4"/>
  <c r="BO46" i="4" s="1"/>
  <c r="CC46" i="4"/>
  <c r="CD46" i="4"/>
  <c r="CE46" i="4"/>
  <c r="CF46" i="4"/>
  <c r="CG46" i="4" s="1"/>
  <c r="CI46" i="4"/>
  <c r="CJ46" i="4"/>
  <c r="CK46" i="4"/>
  <c r="CM46" i="4"/>
  <c r="BB47" i="4"/>
  <c r="BO47" i="4" s="1"/>
  <c r="CC47" i="4"/>
  <c r="CD47" i="4"/>
  <c r="CE47" i="4"/>
  <c r="CF47" i="4"/>
  <c r="CG47" i="4" s="1"/>
  <c r="CI47" i="4"/>
  <c r="CJ47" i="4"/>
  <c r="CK47" i="4"/>
  <c r="CM47" i="4"/>
  <c r="BB48" i="4"/>
  <c r="BO48" i="4" s="1"/>
  <c r="CC48" i="4"/>
  <c r="CD48" i="4"/>
  <c r="CE48" i="4"/>
  <c r="CF48" i="4"/>
  <c r="CG48" i="4" s="1"/>
  <c r="CI48" i="4"/>
  <c r="CJ48" i="4"/>
  <c r="CK48" i="4"/>
  <c r="CM48" i="4"/>
  <c r="BB49" i="4"/>
  <c r="BO49" i="4" s="1"/>
  <c r="CC49" i="4"/>
  <c r="CD49" i="4"/>
  <c r="CE49" i="4"/>
  <c r="CF49" i="4"/>
  <c r="CG49" i="4" s="1"/>
  <c r="CI49" i="4"/>
  <c r="CJ49" i="4"/>
  <c r="CK49" i="4"/>
  <c r="CM49" i="4"/>
  <c r="BB50" i="4"/>
  <c r="BO50" i="4" s="1"/>
  <c r="BQ50" i="4"/>
  <c r="BW50" i="4" s="1"/>
  <c r="BY50" i="4" s="1"/>
  <c r="CC50" i="4"/>
  <c r="CD50" i="4"/>
  <c r="CE50" i="4"/>
  <c r="CF50" i="4"/>
  <c r="CG50" i="4" s="1"/>
  <c r="CI50" i="4"/>
  <c r="CJ50" i="4"/>
  <c r="CK50" i="4"/>
  <c r="CM50" i="4"/>
  <c r="BB51" i="4"/>
  <c r="BO51" i="4" s="1"/>
  <c r="CC51" i="4"/>
  <c r="CD51" i="4"/>
  <c r="CE51" i="4"/>
  <c r="CF51" i="4"/>
  <c r="CG51" i="4" s="1"/>
  <c r="CI51" i="4"/>
  <c r="CJ51" i="4"/>
  <c r="CK51" i="4"/>
  <c r="CM51" i="4"/>
  <c r="BB52" i="4"/>
  <c r="BO52" i="4" s="1"/>
  <c r="CC52" i="4"/>
  <c r="CD52" i="4"/>
  <c r="CE52" i="4"/>
  <c r="CF52" i="4"/>
  <c r="CG52" i="4" s="1"/>
  <c r="CI52" i="4"/>
  <c r="CJ52" i="4"/>
  <c r="CK52" i="4"/>
  <c r="CM52" i="4"/>
  <c r="BB53" i="4"/>
  <c r="BO53" i="4" s="1"/>
  <c r="CC53" i="4"/>
  <c r="CD53" i="4"/>
  <c r="CE53" i="4"/>
  <c r="CF53" i="4"/>
  <c r="CG53" i="4" s="1"/>
  <c r="CI53" i="4"/>
  <c r="CJ53" i="4"/>
  <c r="CK53" i="4"/>
  <c r="CM53" i="4"/>
  <c r="BB54" i="4"/>
  <c r="BO54" i="4" s="1"/>
  <c r="CC54" i="4"/>
  <c r="CD54" i="4"/>
  <c r="CE54" i="4"/>
  <c r="CF54" i="4"/>
  <c r="CG54" i="4" s="1"/>
  <c r="CI54" i="4"/>
  <c r="CJ54" i="4"/>
  <c r="CK54" i="4"/>
  <c r="CM54" i="4"/>
  <c r="BB55" i="4"/>
  <c r="BO55" i="4" s="1"/>
  <c r="BQ55" i="4" s="1"/>
  <c r="BW55" i="4" s="1"/>
  <c r="BY55" i="4" s="1"/>
  <c r="CC55" i="4"/>
  <c r="CD55" i="4"/>
  <c r="CE55" i="4"/>
  <c r="CF55" i="4"/>
  <c r="CG55" i="4" s="1"/>
  <c r="CI55" i="4"/>
  <c r="CJ55" i="4"/>
  <c r="CK55" i="4"/>
  <c r="CM55" i="4"/>
  <c r="BB56" i="4"/>
  <c r="BO56" i="4" s="1"/>
  <c r="CC56" i="4"/>
  <c r="CD56" i="4"/>
  <c r="CE56" i="4"/>
  <c r="CF56" i="4"/>
  <c r="CG56" i="4" s="1"/>
  <c r="CI56" i="4"/>
  <c r="CJ56" i="4"/>
  <c r="CK56" i="4"/>
  <c r="CM56" i="4"/>
  <c r="BB57" i="4"/>
  <c r="BO57" i="4" s="1"/>
  <c r="CC57" i="4"/>
  <c r="CD57" i="4"/>
  <c r="CE57" i="4"/>
  <c r="CF57" i="4"/>
  <c r="CG57" i="4" s="1"/>
  <c r="CI57" i="4"/>
  <c r="CJ57" i="4"/>
  <c r="CK57" i="4"/>
  <c r="CM57" i="4"/>
  <c r="BB58" i="4"/>
  <c r="BO58" i="4" s="1"/>
  <c r="CC58" i="4"/>
  <c r="CD58" i="4"/>
  <c r="CE58" i="4"/>
  <c r="CF58" i="4"/>
  <c r="CG58" i="4" s="1"/>
  <c r="CI58" i="4"/>
  <c r="CJ58" i="4"/>
  <c r="CK58" i="4"/>
  <c r="CM58" i="4"/>
  <c r="BB59" i="4"/>
  <c r="BO59" i="4" s="1"/>
  <c r="CC59" i="4"/>
  <c r="CD59" i="4"/>
  <c r="CE59" i="4"/>
  <c r="CF59" i="4"/>
  <c r="CG59" i="4" s="1"/>
  <c r="CI59" i="4"/>
  <c r="CJ59" i="4"/>
  <c r="CK59" i="4"/>
  <c r="CM59" i="4"/>
  <c r="BB60" i="4"/>
  <c r="BO60" i="4" s="1"/>
  <c r="CC60" i="4"/>
  <c r="CD60" i="4"/>
  <c r="CE60" i="4"/>
  <c r="CF60" i="4"/>
  <c r="CG60" i="4" s="1"/>
  <c r="CI60" i="4"/>
  <c r="CJ60" i="4"/>
  <c r="CK60" i="4"/>
  <c r="CM60" i="4"/>
  <c r="BB61" i="4"/>
  <c r="BO61" i="4" s="1"/>
  <c r="CC61" i="4"/>
  <c r="CD61" i="4"/>
  <c r="CE61" i="4"/>
  <c r="CF61" i="4"/>
  <c r="CG61" i="4" s="1"/>
  <c r="CI61" i="4"/>
  <c r="CJ61" i="4"/>
  <c r="CK61" i="4"/>
  <c r="CM61" i="4"/>
  <c r="BB62" i="4"/>
  <c r="BO62" i="4" s="1"/>
  <c r="CC62" i="4"/>
  <c r="CD62" i="4"/>
  <c r="CE62" i="4"/>
  <c r="CF62" i="4"/>
  <c r="CG62" i="4" s="1"/>
  <c r="CI62" i="4"/>
  <c r="CJ62" i="4"/>
  <c r="CK62" i="4"/>
  <c r="CM62" i="4"/>
  <c r="BB63" i="4"/>
  <c r="BO63" i="4" s="1"/>
  <c r="CC63" i="4"/>
  <c r="CD63" i="4"/>
  <c r="CE63" i="4"/>
  <c r="CF63" i="4"/>
  <c r="CG63" i="4" s="1"/>
  <c r="CI63" i="4"/>
  <c r="CJ63" i="4"/>
  <c r="CK63" i="4"/>
  <c r="CM63" i="4"/>
  <c r="BB64" i="4"/>
  <c r="BO64" i="4" s="1"/>
  <c r="CC64" i="4"/>
  <c r="CD64" i="4"/>
  <c r="CE64" i="4"/>
  <c r="CF64" i="4"/>
  <c r="CG64" i="4" s="1"/>
  <c r="CI64" i="4"/>
  <c r="CJ64" i="4"/>
  <c r="CK64" i="4"/>
  <c r="CM64" i="4"/>
  <c r="U14" i="5"/>
  <c r="W14" i="5"/>
  <c r="AU14" i="5"/>
  <c r="AW14" i="5" s="1"/>
  <c r="BA14" i="5"/>
  <c r="BB14" i="5"/>
  <c r="BD14" i="5"/>
  <c r="BG14" i="5"/>
  <c r="BH14" i="5"/>
  <c r="BJ14" i="5"/>
  <c r="U15" i="5"/>
  <c r="W15" i="5"/>
  <c r="AW15" i="5" s="1"/>
  <c r="AU15" i="5"/>
  <c r="BA15" i="5"/>
  <c r="BE15" i="5" s="1"/>
  <c r="BB15" i="5"/>
  <c r="BD15" i="5"/>
  <c r="BG15" i="5"/>
  <c r="BH15" i="5"/>
  <c r="BJ15" i="5"/>
  <c r="U16" i="5"/>
  <c r="W16" i="5" s="1"/>
  <c r="AU16" i="5"/>
  <c r="BA16" i="5"/>
  <c r="BE16" i="5" s="1"/>
  <c r="BB16" i="5"/>
  <c r="BD16" i="5"/>
  <c r="BG16" i="5"/>
  <c r="BH16" i="5"/>
  <c r="BJ16" i="5"/>
  <c r="U17" i="5"/>
  <c r="W17" i="5"/>
  <c r="AU17" i="5"/>
  <c r="BA17" i="5"/>
  <c r="BB17" i="5"/>
  <c r="BD17" i="5"/>
  <c r="BG17" i="5"/>
  <c r="BH17" i="5"/>
  <c r="BJ17" i="5"/>
  <c r="U18" i="5"/>
  <c r="W18" i="5"/>
  <c r="AU18" i="5"/>
  <c r="BA18" i="5"/>
  <c r="BB18" i="5"/>
  <c r="BD18" i="5"/>
  <c r="BG18" i="5"/>
  <c r="BH18" i="5"/>
  <c r="BJ18" i="5"/>
  <c r="I19" i="5"/>
  <c r="W19" i="5" s="1"/>
  <c r="U19" i="5"/>
  <c r="AU19" i="5"/>
  <c r="AW19" i="5" s="1"/>
  <c r="BA19" i="5"/>
  <c r="BE19" i="5" s="1"/>
  <c r="BB19" i="5"/>
  <c r="BD19" i="5"/>
  <c r="BG19" i="5"/>
  <c r="BH19" i="5"/>
  <c r="BJ19" i="5"/>
  <c r="W20" i="5"/>
  <c r="AU20" i="5"/>
  <c r="AW20" i="5" s="1"/>
  <c r="BQ20" i="4" s="1"/>
  <c r="BW20" i="4" s="1"/>
  <c r="BY20" i="4" s="1"/>
  <c r="BA20" i="5"/>
  <c r="BB20" i="5"/>
  <c r="BD20" i="5"/>
  <c r="BG20" i="5"/>
  <c r="BH20" i="5"/>
  <c r="BJ20" i="5"/>
  <c r="U21" i="5"/>
  <c r="W21" i="5" s="1"/>
  <c r="AW21" i="5" s="1"/>
  <c r="AU21" i="5"/>
  <c r="BA21" i="5"/>
  <c r="BB21" i="5"/>
  <c r="BD21" i="5"/>
  <c r="BG21" i="5"/>
  <c r="BH21" i="5"/>
  <c r="BJ21" i="5"/>
  <c r="W22" i="5"/>
  <c r="AW22" i="5" s="1"/>
  <c r="BQ22" i="4" s="1"/>
  <c r="BW22" i="4" s="1"/>
  <c r="BY22" i="4" s="1"/>
  <c r="AU22" i="5"/>
  <c r="BA22" i="5"/>
  <c r="BE22" i="5" s="1"/>
  <c r="BB22" i="5"/>
  <c r="BD22" i="5"/>
  <c r="BG22" i="5"/>
  <c r="BH22" i="5"/>
  <c r="BJ22" i="5"/>
  <c r="I23" i="5"/>
  <c r="M23" i="5"/>
  <c r="U23" i="5"/>
  <c r="AU23" i="5"/>
  <c r="BA23" i="5"/>
  <c r="BB23" i="5"/>
  <c r="BD23" i="5"/>
  <c r="BG23" i="5"/>
  <c r="BH23" i="5"/>
  <c r="BJ23" i="5"/>
  <c r="U24" i="5"/>
  <c r="W24" i="5" s="1"/>
  <c r="AW24" i="5" s="1"/>
  <c r="BQ24" i="4" s="1"/>
  <c r="BW24" i="4" s="1"/>
  <c r="BY24" i="4" s="1"/>
  <c r="AU24" i="5"/>
  <c r="BA24" i="5"/>
  <c r="BE24" i="5" s="1"/>
  <c r="BB24" i="5"/>
  <c r="BD24" i="5"/>
  <c r="BG24" i="5"/>
  <c r="BH24" i="5"/>
  <c r="BJ24" i="5"/>
  <c r="I25" i="5"/>
  <c r="M25" i="5"/>
  <c r="U25" i="5"/>
  <c r="AU25" i="5"/>
  <c r="BA25" i="5"/>
  <c r="BE25" i="5" s="1"/>
  <c r="BB25" i="5"/>
  <c r="BD25" i="5"/>
  <c r="BG25" i="5"/>
  <c r="BH25" i="5"/>
  <c r="BJ25" i="5"/>
  <c r="I26" i="5"/>
  <c r="M26" i="5"/>
  <c r="U26" i="5"/>
  <c r="W26" i="5"/>
  <c r="AW26" i="5" s="1"/>
  <c r="BQ26" i="4" s="1"/>
  <c r="BW26" i="4" s="1"/>
  <c r="BY26" i="4" s="1"/>
  <c r="AU26" i="5"/>
  <c r="BA26" i="5"/>
  <c r="BB26" i="5"/>
  <c r="BD26" i="5"/>
  <c r="BG26" i="5"/>
  <c r="BH26" i="5"/>
  <c r="BJ26" i="5"/>
  <c r="U27" i="5"/>
  <c r="W27" i="5" s="1"/>
  <c r="AU27" i="5"/>
  <c r="BA27" i="5"/>
  <c r="BE27" i="5" s="1"/>
  <c r="BB27" i="5"/>
  <c r="BD27" i="5"/>
  <c r="BG27" i="5"/>
  <c r="BH27" i="5"/>
  <c r="BJ27" i="5"/>
  <c r="W28" i="5"/>
  <c r="AU28" i="5"/>
  <c r="AW28" i="5"/>
  <c r="BQ28" i="4" s="1"/>
  <c r="BW28" i="4" s="1"/>
  <c r="BY28" i="4" s="1"/>
  <c r="BA28" i="5"/>
  <c r="BE28" i="5" s="1"/>
  <c r="BB28" i="5"/>
  <c r="BD28" i="5"/>
  <c r="BG28" i="5"/>
  <c r="BH28" i="5"/>
  <c r="BJ28" i="5"/>
  <c r="U29" i="5"/>
  <c r="W29" i="5"/>
  <c r="AW29" i="5" s="1"/>
  <c r="AU29" i="5"/>
  <c r="BA29" i="5"/>
  <c r="BB29" i="5"/>
  <c r="BD29" i="5"/>
  <c r="BG29" i="5"/>
  <c r="BH29" i="5"/>
  <c r="BJ29" i="5"/>
  <c r="U30" i="5"/>
  <c r="W30" i="5" s="1"/>
  <c r="AU30" i="5"/>
  <c r="BA30" i="5"/>
  <c r="BB30" i="5"/>
  <c r="BD30" i="5"/>
  <c r="BG30" i="5"/>
  <c r="BH30" i="5"/>
  <c r="BJ30" i="5"/>
  <c r="M31" i="5"/>
  <c r="W31" i="5" s="1"/>
  <c r="AU31" i="5"/>
  <c r="AW31" i="5"/>
  <c r="BA31" i="5"/>
  <c r="BE31" i="5" s="1"/>
  <c r="BB31" i="5"/>
  <c r="BD31" i="5"/>
  <c r="BG31" i="5"/>
  <c r="BH31" i="5"/>
  <c r="BJ31" i="5"/>
  <c r="M32" i="5"/>
  <c r="W32" i="5" s="1"/>
  <c r="AU32" i="5"/>
  <c r="BA32" i="5"/>
  <c r="BB32" i="5"/>
  <c r="BD32" i="5"/>
  <c r="BG32" i="5"/>
  <c r="BH32" i="5"/>
  <c r="BJ32" i="5"/>
  <c r="W33" i="5"/>
  <c r="AU33" i="5"/>
  <c r="AW33" i="5" s="1"/>
  <c r="BA33" i="5"/>
  <c r="BB33" i="5"/>
  <c r="BD33" i="5"/>
  <c r="BG33" i="5"/>
  <c r="BH33" i="5"/>
  <c r="BJ33" i="5"/>
  <c r="M34" i="5"/>
  <c r="W34" i="5"/>
  <c r="AW34" i="5" s="1"/>
  <c r="BQ34" i="4" s="1"/>
  <c r="BW34" i="4" s="1"/>
  <c r="BY34" i="4" s="1"/>
  <c r="AU34" i="5"/>
  <c r="BA34" i="5"/>
  <c r="BE34" i="5" s="1"/>
  <c r="BB34" i="5"/>
  <c r="BD34" i="5"/>
  <c r="BG34" i="5"/>
  <c r="BH34" i="5"/>
  <c r="BJ34" i="5"/>
  <c r="M35" i="5"/>
  <c r="W35" i="5" s="1"/>
  <c r="AU35" i="5"/>
  <c r="BA35" i="5"/>
  <c r="BE35" i="5" s="1"/>
  <c r="BB35" i="5"/>
  <c r="BD35" i="5"/>
  <c r="BG35" i="5"/>
  <c r="BH35" i="5"/>
  <c r="BJ35" i="5"/>
  <c r="W36" i="5"/>
  <c r="AU36" i="5"/>
  <c r="AW36" i="5" s="1"/>
  <c r="BA36" i="5"/>
  <c r="BE36" i="5" s="1"/>
  <c r="BB36" i="5"/>
  <c r="BD36" i="5"/>
  <c r="BG36" i="5"/>
  <c r="BH36" i="5"/>
  <c r="BJ36" i="5"/>
  <c r="M37" i="5"/>
  <c r="W37" i="5"/>
  <c r="AU37" i="5"/>
  <c r="AW37" i="5" s="1"/>
  <c r="BA37" i="5"/>
  <c r="BE37" i="5" s="1"/>
  <c r="BB37" i="5"/>
  <c r="BD37" i="5"/>
  <c r="BG37" i="5"/>
  <c r="BH37" i="5"/>
  <c r="BJ37" i="5"/>
  <c r="M38" i="5"/>
  <c r="W38" i="5" s="1"/>
  <c r="AU38" i="5"/>
  <c r="BA38" i="5"/>
  <c r="BE38" i="5" s="1"/>
  <c r="BB38" i="5"/>
  <c r="BD38" i="5"/>
  <c r="BG38" i="5"/>
  <c r="BH38" i="5"/>
  <c r="BJ38" i="5"/>
  <c r="M39" i="5"/>
  <c r="W39" i="5"/>
  <c r="AU39" i="5"/>
  <c r="BA39" i="5"/>
  <c r="BE39" i="5" s="1"/>
  <c r="BB39" i="5"/>
  <c r="BD39" i="5"/>
  <c r="BG39" i="5"/>
  <c r="BH39" i="5"/>
  <c r="BJ39" i="5"/>
  <c r="M40" i="5"/>
  <c r="W40" i="5"/>
  <c r="AU40" i="5"/>
  <c r="AW40" i="5" s="1"/>
  <c r="BQ40" i="4" s="1"/>
  <c r="BW40" i="4" s="1"/>
  <c r="BY40" i="4" s="1"/>
  <c r="BA40" i="5"/>
  <c r="BB40" i="5"/>
  <c r="BD40" i="5"/>
  <c r="BG40" i="5"/>
  <c r="BH40" i="5"/>
  <c r="BJ40" i="5"/>
  <c r="M41" i="5"/>
  <c r="W41" i="5"/>
  <c r="AW41" i="5" s="1"/>
  <c r="AU41" i="5"/>
  <c r="BA41" i="5"/>
  <c r="BE41" i="5" s="1"/>
  <c r="BB41" i="5"/>
  <c r="BD41" i="5"/>
  <c r="BG41" i="5"/>
  <c r="BH41" i="5"/>
  <c r="BJ41" i="5"/>
  <c r="M42" i="5"/>
  <c r="W42" i="5" s="1"/>
  <c r="AU42" i="5"/>
  <c r="BA42" i="5"/>
  <c r="BE42" i="5" s="1"/>
  <c r="BB42" i="5"/>
  <c r="BD42" i="5"/>
  <c r="BG42" i="5"/>
  <c r="BH42" i="5"/>
  <c r="BJ42" i="5"/>
  <c r="M43" i="5"/>
  <c r="W43" i="5"/>
  <c r="AU43" i="5"/>
  <c r="BA43" i="5"/>
  <c r="BB43" i="5"/>
  <c r="BD43" i="5"/>
  <c r="BG43" i="5"/>
  <c r="BH43" i="5"/>
  <c r="BJ43" i="5"/>
  <c r="M44" i="5"/>
  <c r="U44" i="5"/>
  <c r="AU44" i="5"/>
  <c r="BA44" i="5"/>
  <c r="BE44" i="5" s="1"/>
  <c r="BB44" i="5"/>
  <c r="BD44" i="5"/>
  <c r="BG44" i="5"/>
  <c r="BH44" i="5"/>
  <c r="BJ44" i="5"/>
  <c r="M45" i="5"/>
  <c r="W45" i="5"/>
  <c r="AU45" i="5"/>
  <c r="AW45" i="5" s="1"/>
  <c r="BA45" i="5"/>
  <c r="BE45" i="5" s="1"/>
  <c r="BB45" i="5"/>
  <c r="BD45" i="5"/>
  <c r="BG45" i="5"/>
  <c r="BH45" i="5"/>
  <c r="BJ45" i="5"/>
  <c r="M46" i="5"/>
  <c r="W46" i="5"/>
  <c r="AU46" i="5"/>
  <c r="BA46" i="5"/>
  <c r="BB46" i="5"/>
  <c r="BD46" i="5"/>
  <c r="BG46" i="5"/>
  <c r="BH46" i="5"/>
  <c r="BJ46" i="5"/>
  <c r="M47" i="5"/>
  <c r="W47" i="5" s="1"/>
  <c r="AU47" i="5"/>
  <c r="BA47" i="5"/>
  <c r="BE47" i="5" s="1"/>
  <c r="BB47" i="5"/>
  <c r="BD47" i="5"/>
  <c r="BG47" i="5"/>
  <c r="BH47" i="5"/>
  <c r="BJ47" i="5"/>
  <c r="M48" i="5"/>
  <c r="W48" i="5"/>
  <c r="AU48" i="5"/>
  <c r="BA48" i="5"/>
  <c r="BE48" i="5" s="1"/>
  <c r="BB48" i="5"/>
  <c r="BD48" i="5"/>
  <c r="BG48" i="5"/>
  <c r="BH48" i="5"/>
  <c r="BJ48" i="5"/>
  <c r="M49" i="5"/>
  <c r="W49" i="5"/>
  <c r="AU49" i="5"/>
  <c r="AW49" i="5" s="1"/>
  <c r="BA49" i="5"/>
  <c r="BB49" i="5"/>
  <c r="BD49" i="5"/>
  <c r="BG49" i="5"/>
  <c r="BH49" i="5"/>
  <c r="BJ49" i="5"/>
  <c r="U50" i="5"/>
  <c r="W50" i="5"/>
  <c r="AW50" i="5" s="1"/>
  <c r="AU50" i="5"/>
  <c r="BA50" i="5"/>
  <c r="BE50" i="5" s="1"/>
  <c r="BB50" i="5"/>
  <c r="BD50" i="5"/>
  <c r="BG50" i="5"/>
  <c r="BH50" i="5"/>
  <c r="BJ50" i="5"/>
  <c r="U51" i="5"/>
  <c r="W51" i="5" s="1"/>
  <c r="AU51" i="5"/>
  <c r="BA51" i="5"/>
  <c r="BE51" i="5" s="1"/>
  <c r="BB51" i="5"/>
  <c r="BD51" i="5"/>
  <c r="BG51" i="5"/>
  <c r="BH51" i="5"/>
  <c r="BJ51" i="5"/>
  <c r="U52" i="5"/>
  <c r="W52" i="5"/>
  <c r="AW52" i="5" s="1"/>
  <c r="BQ52" i="4" s="1"/>
  <c r="BW52" i="4" s="1"/>
  <c r="BY52" i="4" s="1"/>
  <c r="AU52" i="5"/>
  <c r="BA52" i="5"/>
  <c r="BB52" i="5"/>
  <c r="BD52" i="5"/>
  <c r="BG52" i="5"/>
  <c r="BH52" i="5"/>
  <c r="BJ52" i="5"/>
  <c r="I53" i="5"/>
  <c r="W53" i="5" s="1"/>
  <c r="AU53" i="5"/>
  <c r="BA53" i="5"/>
  <c r="BB53" i="5"/>
  <c r="BD53" i="5"/>
  <c r="BG53" i="5"/>
  <c r="BH53" i="5"/>
  <c r="BJ53" i="5"/>
  <c r="W54" i="5"/>
  <c r="AW54" i="5" s="1"/>
  <c r="BQ54" i="4" s="1"/>
  <c r="BW54" i="4" s="1"/>
  <c r="BY54" i="4" s="1"/>
  <c r="AU54" i="5"/>
  <c r="BA54" i="5"/>
  <c r="BE54" i="5" s="1"/>
  <c r="BB54" i="5"/>
  <c r="BD54" i="5"/>
  <c r="BG54" i="5"/>
  <c r="BH54" i="5"/>
  <c r="BJ54" i="5"/>
  <c r="W55" i="5"/>
  <c r="AU55" i="5"/>
  <c r="AW55" i="5" s="1"/>
  <c r="BA55" i="5"/>
  <c r="BE55" i="5" s="1"/>
  <c r="BB55" i="5"/>
  <c r="BD55" i="5"/>
  <c r="BG55" i="5"/>
  <c r="BH55" i="5"/>
  <c r="BJ55" i="5"/>
  <c r="U56" i="5"/>
  <c r="W56" i="5"/>
  <c r="AU56" i="5"/>
  <c r="AW56" i="5"/>
  <c r="BQ56" i="4" s="1"/>
  <c r="BW56" i="4" s="1"/>
  <c r="BY56" i="4" s="1"/>
  <c r="BA56" i="5"/>
  <c r="BB56" i="5"/>
  <c r="BD56" i="5"/>
  <c r="BE56" i="5"/>
  <c r="BG56" i="5"/>
  <c r="BH56" i="5"/>
  <c r="BJ56" i="5"/>
  <c r="I57" i="5"/>
  <c r="W57" i="5" s="1"/>
  <c r="AW57" i="5" s="1"/>
  <c r="U57" i="5"/>
  <c r="AU57" i="5"/>
  <c r="BA57" i="5"/>
  <c r="BE57" i="5" s="1"/>
  <c r="BB57" i="5"/>
  <c r="BD57" i="5"/>
  <c r="BG57" i="5"/>
  <c r="BH57" i="5"/>
  <c r="BJ57" i="5"/>
  <c r="U58" i="5"/>
  <c r="W58" i="5" s="1"/>
  <c r="AU58" i="5"/>
  <c r="BA58" i="5"/>
  <c r="BE58" i="5" s="1"/>
  <c r="BB58" i="5"/>
  <c r="BD58" i="5"/>
  <c r="BG58" i="5"/>
  <c r="BH58" i="5"/>
  <c r="BJ58" i="5"/>
  <c r="U59" i="5"/>
  <c r="W59" i="5"/>
  <c r="AU59" i="5"/>
  <c r="BA59" i="5"/>
  <c r="BB59" i="5"/>
  <c r="BD59" i="5"/>
  <c r="BG59" i="5"/>
  <c r="BH59" i="5"/>
  <c r="BJ59" i="5"/>
  <c r="U60" i="5"/>
  <c r="W60" i="5"/>
  <c r="AU60" i="5"/>
  <c r="BA60" i="5"/>
  <c r="BB60" i="5"/>
  <c r="BD60" i="5"/>
  <c r="BG60" i="5"/>
  <c r="BH60" i="5"/>
  <c r="BJ60" i="5"/>
  <c r="I61" i="5"/>
  <c r="W61" i="5" s="1"/>
  <c r="AW61" i="5" s="1"/>
  <c r="M61" i="5"/>
  <c r="U61" i="5"/>
  <c r="AU61" i="5"/>
  <c r="BA61" i="5"/>
  <c r="BB61" i="5"/>
  <c r="BD61" i="5"/>
  <c r="BG61" i="5"/>
  <c r="BH61" i="5"/>
  <c r="BJ61" i="5"/>
  <c r="U62" i="5"/>
  <c r="W62" i="5"/>
  <c r="AU62" i="5"/>
  <c r="BA62" i="5"/>
  <c r="BB62" i="5"/>
  <c r="BD62" i="5"/>
  <c r="BG62" i="5"/>
  <c r="BH62" i="5"/>
  <c r="BJ62" i="5"/>
  <c r="U63" i="5"/>
  <c r="W63" i="5" s="1"/>
  <c r="AU63" i="5"/>
  <c r="AW63" i="5" s="1"/>
  <c r="BA63" i="5"/>
  <c r="BE63" i="5" s="1"/>
  <c r="BB63" i="5"/>
  <c r="BD63" i="5"/>
  <c r="BG63" i="5"/>
  <c r="BH63" i="5"/>
  <c r="BJ63" i="5"/>
  <c r="U64" i="5"/>
  <c r="W64" i="5" s="1"/>
  <c r="AU64" i="5"/>
  <c r="BA64" i="5"/>
  <c r="BB64" i="5"/>
  <c r="BD64" i="5"/>
  <c r="BG64" i="5"/>
  <c r="BH64" i="5"/>
  <c r="BJ64" i="5"/>
  <c r="BC14" i="7"/>
  <c r="BE14" i="7" s="1"/>
  <c r="BI14" i="7" s="1"/>
  <c r="BK14" i="7" s="1"/>
  <c r="BO14" i="7"/>
  <c r="BP14" i="7"/>
  <c r="BS14" i="7"/>
  <c r="BT14" i="7"/>
  <c r="O15" i="7"/>
  <c r="BC15" i="7" s="1"/>
  <c r="BE15" i="7" s="1"/>
  <c r="BI15" i="7" s="1"/>
  <c r="BK15" i="7" s="1"/>
  <c r="BO15" i="7"/>
  <c r="BP15" i="7"/>
  <c r="BS15" i="7"/>
  <c r="BT15" i="7"/>
  <c r="BC16" i="7"/>
  <c r="BE16" i="7" s="1"/>
  <c r="BI16" i="7" s="1"/>
  <c r="BK16" i="7" s="1"/>
  <c r="BO16" i="7"/>
  <c r="BQ16" i="7" s="1"/>
  <c r="BP16" i="7"/>
  <c r="BS16" i="7"/>
  <c r="BT16" i="7"/>
  <c r="BC17" i="7"/>
  <c r="BE17" i="7" s="1"/>
  <c r="BI17" i="7" s="1"/>
  <c r="BK17" i="7" s="1"/>
  <c r="BO17" i="7"/>
  <c r="BP17" i="7"/>
  <c r="BQ17" i="7" s="1"/>
  <c r="BS17" i="7"/>
  <c r="BT17" i="7"/>
  <c r="BC18" i="7"/>
  <c r="BE18" i="7" s="1"/>
  <c r="BI18" i="7" s="1"/>
  <c r="BK18" i="7" s="1"/>
  <c r="BO18" i="7"/>
  <c r="BQ18" i="7" s="1"/>
  <c r="BP18" i="7"/>
  <c r="BS18" i="7"/>
  <c r="BT18" i="7"/>
  <c r="BC19" i="7"/>
  <c r="BE19" i="7" s="1"/>
  <c r="BI19" i="7" s="1"/>
  <c r="BK19" i="7" s="1"/>
  <c r="BO19" i="7"/>
  <c r="BP19" i="7"/>
  <c r="BS19" i="7"/>
  <c r="BT19" i="7"/>
  <c r="BC20" i="7"/>
  <c r="BE20" i="7" s="1"/>
  <c r="BI20" i="7" s="1"/>
  <c r="BK20" i="7" s="1"/>
  <c r="BO20" i="7"/>
  <c r="BQ20" i="7" s="1"/>
  <c r="BP20" i="7"/>
  <c r="BS20" i="7"/>
  <c r="BT20" i="7"/>
  <c r="BC21" i="7"/>
  <c r="BE21" i="7" s="1"/>
  <c r="BI21" i="7" s="1"/>
  <c r="BK21" i="7" s="1"/>
  <c r="BO21" i="7"/>
  <c r="BP21" i="7"/>
  <c r="BQ21" i="7" s="1"/>
  <c r="BS21" i="7"/>
  <c r="BT21" i="7"/>
  <c r="BC22" i="7"/>
  <c r="BE22" i="7" s="1"/>
  <c r="BI22" i="7" s="1"/>
  <c r="BK22" i="7" s="1"/>
  <c r="BO22" i="7"/>
  <c r="BP22" i="7"/>
  <c r="BS22" i="7"/>
  <c r="BT22" i="7"/>
  <c r="BC23" i="7"/>
  <c r="BE23" i="7"/>
  <c r="BI23" i="7" s="1"/>
  <c r="BK23" i="7" s="1"/>
  <c r="BO23" i="7"/>
  <c r="BQ23" i="7" s="1"/>
  <c r="BP23" i="7"/>
  <c r="BS23" i="7"/>
  <c r="BT23" i="7"/>
  <c r="BC24" i="7"/>
  <c r="BE24" i="7" s="1"/>
  <c r="BI24" i="7" s="1"/>
  <c r="BK24" i="7" s="1"/>
  <c r="BO24" i="7"/>
  <c r="BP24" i="7"/>
  <c r="BQ24" i="7"/>
  <c r="BS24" i="7"/>
  <c r="BT24" i="7"/>
  <c r="BA25" i="7"/>
  <c r="BC25" i="7"/>
  <c r="BE25" i="7" s="1"/>
  <c r="BI25" i="7" s="1"/>
  <c r="BK25" i="7" s="1"/>
  <c r="BO25" i="7"/>
  <c r="BQ25" i="7" s="1"/>
  <c r="BP25" i="7"/>
  <c r="BS25" i="7"/>
  <c r="BT25" i="7"/>
  <c r="BC26" i="7"/>
  <c r="BE26" i="7" s="1"/>
  <c r="BI26" i="7" s="1"/>
  <c r="BK26" i="7" s="1"/>
  <c r="BO26" i="7"/>
  <c r="BP26" i="7"/>
  <c r="BS26" i="7"/>
  <c r="BT26" i="7"/>
  <c r="M27" i="7"/>
  <c r="BC27" i="7" s="1"/>
  <c r="BE27" i="7" s="1"/>
  <c r="BI27" i="7" s="1"/>
  <c r="BK27" i="7" s="1"/>
  <c r="BO27" i="7"/>
  <c r="BP27" i="7"/>
  <c r="BS27" i="7"/>
  <c r="BT27" i="7"/>
  <c r="BC28" i="7"/>
  <c r="BE28" i="7" s="1"/>
  <c r="BI28" i="7" s="1"/>
  <c r="BK28" i="7" s="1"/>
  <c r="BO28" i="7"/>
  <c r="BQ28" i="7" s="1"/>
  <c r="BP28" i="7"/>
  <c r="BS28" i="7"/>
  <c r="BT28" i="7"/>
  <c r="BC29" i="7"/>
  <c r="BE29" i="7" s="1"/>
  <c r="BI29" i="7" s="1"/>
  <c r="BK29" i="7" s="1"/>
  <c r="BO29" i="7"/>
  <c r="BP29" i="7"/>
  <c r="BS29" i="7"/>
  <c r="BT29" i="7"/>
  <c r="BC30" i="7"/>
  <c r="BE30" i="7" s="1"/>
  <c r="BI30" i="7" s="1"/>
  <c r="BK30" i="7" s="1"/>
  <c r="BO30" i="7"/>
  <c r="BQ30" i="7" s="1"/>
  <c r="BP30" i="7"/>
  <c r="BS30" i="7"/>
  <c r="BT30" i="7"/>
  <c r="BC31" i="7"/>
  <c r="BE31" i="7" s="1"/>
  <c r="BI31" i="7" s="1"/>
  <c r="BK31" i="7" s="1"/>
  <c r="BO31" i="7"/>
  <c r="BP31" i="7"/>
  <c r="BQ31" i="7" s="1"/>
  <c r="BS31" i="7"/>
  <c r="BT31" i="7"/>
  <c r="BC32" i="7"/>
  <c r="BE32" i="7" s="1"/>
  <c r="BI32" i="7" s="1"/>
  <c r="BK32" i="7" s="1"/>
  <c r="BO32" i="7"/>
  <c r="BQ32" i="7" s="1"/>
  <c r="BP32" i="7"/>
  <c r="BS32" i="7"/>
  <c r="BT32" i="7"/>
  <c r="BC33" i="7"/>
  <c r="BE33" i="7" s="1"/>
  <c r="BI33" i="7" s="1"/>
  <c r="BK33" i="7" s="1"/>
  <c r="BO33" i="7"/>
  <c r="BP33" i="7"/>
  <c r="BS33" i="7"/>
  <c r="BT33" i="7"/>
  <c r="BC34" i="7"/>
  <c r="BE34" i="7" s="1"/>
  <c r="BI34" i="7" s="1"/>
  <c r="BK34" i="7" s="1"/>
  <c r="BO34" i="7"/>
  <c r="BQ34" i="7" s="1"/>
  <c r="BP34" i="7"/>
  <c r="BS34" i="7"/>
  <c r="BT34" i="7"/>
  <c r="BC35" i="7"/>
  <c r="BE35" i="7" s="1"/>
  <c r="BI35" i="7" s="1"/>
  <c r="BK35" i="7" s="1"/>
  <c r="BO35" i="7"/>
  <c r="BP35" i="7"/>
  <c r="BQ35" i="7" s="1"/>
  <c r="BS35" i="7"/>
  <c r="BT35" i="7"/>
  <c r="BC36" i="7"/>
  <c r="BE36" i="7" s="1"/>
  <c r="BI36" i="7" s="1"/>
  <c r="BK36" i="7" s="1"/>
  <c r="BO36" i="7"/>
  <c r="BP36" i="7"/>
  <c r="BS36" i="7"/>
  <c r="BT36" i="7"/>
  <c r="BC37" i="7"/>
  <c r="BE37" i="7"/>
  <c r="BI37" i="7" s="1"/>
  <c r="BK37" i="7" s="1"/>
  <c r="BO37" i="7"/>
  <c r="BP37" i="7"/>
  <c r="BS37" i="7"/>
  <c r="BT37" i="7"/>
  <c r="BC38" i="7"/>
  <c r="BE38" i="7" s="1"/>
  <c r="BI38" i="7"/>
  <c r="BK38" i="7" s="1"/>
  <c r="BO38" i="7"/>
  <c r="BQ38" i="7" s="1"/>
  <c r="BP38" i="7"/>
  <c r="BS38" i="7"/>
  <c r="BT38" i="7"/>
  <c r="BC39" i="7"/>
  <c r="BE39" i="7" s="1"/>
  <c r="BI39" i="7" s="1"/>
  <c r="BK39" i="7" s="1"/>
  <c r="BO39" i="7"/>
  <c r="BP39" i="7"/>
  <c r="BQ39" i="7" s="1"/>
  <c r="BS39" i="7"/>
  <c r="BT39" i="7"/>
  <c r="BC40" i="7"/>
  <c r="BE40" i="7" s="1"/>
  <c r="BI40" i="7" s="1"/>
  <c r="BK40" i="7" s="1"/>
  <c r="BO40" i="7"/>
  <c r="BQ40" i="7" s="1"/>
  <c r="BP40" i="7"/>
  <c r="BS40" i="7"/>
  <c r="BT40" i="7"/>
  <c r="BC41" i="7"/>
  <c r="BE41" i="7" s="1"/>
  <c r="BI41" i="7" s="1"/>
  <c r="BK41" i="7" s="1"/>
  <c r="BO41" i="7"/>
  <c r="BP41" i="7"/>
  <c r="BS41" i="7"/>
  <c r="BT41" i="7"/>
  <c r="BC42" i="7"/>
  <c r="BE42" i="7" s="1"/>
  <c r="BI42" i="7" s="1"/>
  <c r="BK42" i="7" s="1"/>
  <c r="BO42" i="7"/>
  <c r="BQ42" i="7" s="1"/>
  <c r="BP42" i="7"/>
  <c r="BS42" i="7"/>
  <c r="BT42" i="7"/>
  <c r="BC43" i="7"/>
  <c r="BE43" i="7" s="1"/>
  <c r="BI43" i="7" s="1"/>
  <c r="BK43" i="7" s="1"/>
  <c r="BO43" i="7"/>
  <c r="BP43" i="7"/>
  <c r="BQ43" i="7" s="1"/>
  <c r="BS43" i="7"/>
  <c r="BT43" i="7"/>
  <c r="BC44" i="7"/>
  <c r="BE44" i="7" s="1"/>
  <c r="BI44" i="7" s="1"/>
  <c r="BK44" i="7" s="1"/>
  <c r="BO44" i="7"/>
  <c r="BP44" i="7"/>
  <c r="BS44" i="7"/>
  <c r="BT44" i="7"/>
  <c r="BC45" i="7"/>
  <c r="BE45" i="7"/>
  <c r="BI45" i="7" s="1"/>
  <c r="BK45" i="7" s="1"/>
  <c r="BO45" i="7"/>
  <c r="BP45" i="7"/>
  <c r="BS45" i="7"/>
  <c r="BT45" i="7"/>
  <c r="BC46" i="7"/>
  <c r="BE46" i="7" s="1"/>
  <c r="BI46" i="7"/>
  <c r="BK46" i="7" s="1"/>
  <c r="BO46" i="7"/>
  <c r="BQ46" i="7" s="1"/>
  <c r="BP46" i="7"/>
  <c r="BS46" i="7"/>
  <c r="BT46" i="7"/>
  <c r="BC47" i="7"/>
  <c r="BE47" i="7" s="1"/>
  <c r="BI47" i="7" s="1"/>
  <c r="BK47" i="7" s="1"/>
  <c r="BO47" i="7"/>
  <c r="BP47" i="7"/>
  <c r="BQ47" i="7" s="1"/>
  <c r="BS47" i="7"/>
  <c r="BT47" i="7"/>
  <c r="BC48" i="7"/>
  <c r="BE48" i="7" s="1"/>
  <c r="BI48" i="7" s="1"/>
  <c r="BK48" i="7" s="1"/>
  <c r="BO48" i="7"/>
  <c r="BQ48" i="7" s="1"/>
  <c r="BP48" i="7"/>
  <c r="BS48" i="7"/>
  <c r="BT48" i="7"/>
  <c r="BC49" i="7"/>
  <c r="BE49" i="7" s="1"/>
  <c r="BI49" i="7" s="1"/>
  <c r="BK49" i="7" s="1"/>
  <c r="BO49" i="7"/>
  <c r="BP49" i="7"/>
  <c r="BS49" i="7"/>
  <c r="BT49" i="7"/>
  <c r="BC50" i="7"/>
  <c r="BE50" i="7" s="1"/>
  <c r="BI50" i="7" s="1"/>
  <c r="BK50" i="7" s="1"/>
  <c r="BO50" i="7"/>
  <c r="BQ50" i="7" s="1"/>
  <c r="BP50" i="7"/>
  <c r="BS50" i="7"/>
  <c r="BT50" i="7"/>
  <c r="BC51" i="7"/>
  <c r="BE51" i="7" s="1"/>
  <c r="BI51" i="7" s="1"/>
  <c r="BK51" i="7" s="1"/>
  <c r="BO51" i="7"/>
  <c r="BP51" i="7"/>
  <c r="BQ51" i="7" s="1"/>
  <c r="BS51" i="7"/>
  <c r="BT51" i="7"/>
  <c r="BC52" i="7"/>
  <c r="BE52" i="7" s="1"/>
  <c r="BI52" i="7" s="1"/>
  <c r="BK52" i="7" s="1"/>
  <c r="BO52" i="7"/>
  <c r="BQ52" i="7" s="1"/>
  <c r="BP52" i="7"/>
  <c r="BS52" i="7"/>
  <c r="BT52" i="7"/>
  <c r="BC53" i="7"/>
  <c r="BE53" i="7" s="1"/>
  <c r="BI53" i="7" s="1"/>
  <c r="BK53" i="7" s="1"/>
  <c r="BO53" i="7"/>
  <c r="BP53" i="7"/>
  <c r="BS53" i="7"/>
  <c r="BT53" i="7"/>
  <c r="BC54" i="7"/>
  <c r="BE54" i="7" s="1"/>
  <c r="BI54" i="7" s="1"/>
  <c r="BK54" i="7" s="1"/>
  <c r="BO54" i="7"/>
  <c r="BP54" i="7"/>
  <c r="BS54" i="7"/>
  <c r="BT54" i="7"/>
  <c r="BC55" i="7"/>
  <c r="BE55" i="7"/>
  <c r="BI55" i="7" s="1"/>
  <c r="BK55" i="7" s="1"/>
  <c r="BO55" i="7"/>
  <c r="BP55" i="7"/>
  <c r="BS55" i="7"/>
  <c r="BT55" i="7"/>
  <c r="BC56" i="7"/>
  <c r="BE56" i="7" s="1"/>
  <c r="BI56" i="7" s="1"/>
  <c r="BK56" i="7" s="1"/>
  <c r="BO56" i="7"/>
  <c r="BP56" i="7"/>
  <c r="BQ56" i="7"/>
  <c r="BS56" i="7"/>
  <c r="BT56" i="7"/>
  <c r="BC57" i="7"/>
  <c r="BE57" i="7"/>
  <c r="BI57" i="7" s="1"/>
  <c r="BK57" i="7" s="1"/>
  <c r="BO57" i="7"/>
  <c r="BQ57" i="7" s="1"/>
  <c r="BP57" i="7"/>
  <c r="BS57" i="7"/>
  <c r="BT57" i="7"/>
  <c r="BC58" i="7"/>
  <c r="BE58" i="7" s="1"/>
  <c r="BI58" i="7" s="1"/>
  <c r="BK58" i="7" s="1"/>
  <c r="BO58" i="7"/>
  <c r="BP58" i="7"/>
  <c r="BS58" i="7"/>
  <c r="BT58" i="7"/>
  <c r="BC59" i="7"/>
  <c r="BE59" i="7"/>
  <c r="BI59" i="7" s="1"/>
  <c r="BK59" i="7" s="1"/>
  <c r="BO59" i="7"/>
  <c r="BP59" i="7"/>
  <c r="BS59" i="7"/>
  <c r="BT59" i="7"/>
  <c r="BC60" i="7"/>
  <c r="BE60" i="7" s="1"/>
  <c r="BI60" i="7" s="1"/>
  <c r="BK60" i="7" s="1"/>
  <c r="BO60" i="7"/>
  <c r="BP60" i="7"/>
  <c r="BQ60" i="7"/>
  <c r="BS60" i="7"/>
  <c r="BT60" i="7"/>
  <c r="BC61" i="7"/>
  <c r="BE61" i="7"/>
  <c r="BI61" i="7" s="1"/>
  <c r="BK61" i="7" s="1"/>
  <c r="BO61" i="7"/>
  <c r="BQ61" i="7" s="1"/>
  <c r="BP61" i="7"/>
  <c r="BS61" i="7"/>
  <c r="BT61" i="7"/>
  <c r="BC62" i="7"/>
  <c r="BE62" i="7" s="1"/>
  <c r="BI62" i="7" s="1"/>
  <c r="BK62" i="7" s="1"/>
  <c r="BO62" i="7"/>
  <c r="BQ62" i="7" s="1"/>
  <c r="BP62" i="7"/>
  <c r="BS62" i="7"/>
  <c r="BT62" i="7"/>
  <c r="BC63" i="7"/>
  <c r="BE63" i="7" s="1"/>
  <c r="BI63" i="7" s="1"/>
  <c r="BK63" i="7" s="1"/>
  <c r="BO63" i="7"/>
  <c r="BP63" i="7"/>
  <c r="BQ63" i="7" s="1"/>
  <c r="BS63" i="7"/>
  <c r="BT63" i="7"/>
  <c r="BC64" i="7"/>
  <c r="BE64" i="7" s="1"/>
  <c r="BI64" i="7" s="1"/>
  <c r="BK64" i="7" s="1"/>
  <c r="BO64" i="7"/>
  <c r="BQ64" i="7" s="1"/>
  <c r="BP64" i="7"/>
  <c r="BS64" i="7"/>
  <c r="BT64" i="7"/>
  <c r="S14" i="10"/>
  <c r="W14" i="10"/>
  <c r="AC14" i="10"/>
  <c r="AD14" i="10"/>
  <c r="AE14" i="10" s="1"/>
  <c r="AG14" i="10"/>
  <c r="AH14" i="10"/>
  <c r="G15" i="10"/>
  <c r="S15" i="10"/>
  <c r="W15" i="10"/>
  <c r="AC15" i="10"/>
  <c r="AD15" i="10"/>
  <c r="AE15" i="10" s="1"/>
  <c r="AG15" i="10"/>
  <c r="AH15" i="10"/>
  <c r="S16" i="10"/>
  <c r="W16" i="10"/>
  <c r="AC16" i="10"/>
  <c r="AD16" i="10"/>
  <c r="AE16" i="10"/>
  <c r="AG16" i="10"/>
  <c r="AH16" i="10"/>
  <c r="S17" i="10"/>
  <c r="W17" i="10"/>
  <c r="AC17" i="10"/>
  <c r="AD17" i="10"/>
  <c r="AE17" i="10" s="1"/>
  <c r="AG17" i="10"/>
  <c r="AH17" i="10"/>
  <c r="S18" i="10"/>
  <c r="W18" i="10"/>
  <c r="AC18" i="10"/>
  <c r="AD18" i="10"/>
  <c r="AE18" i="10" s="1"/>
  <c r="AG18" i="10"/>
  <c r="AH18" i="10"/>
  <c r="S19" i="10"/>
  <c r="W19" i="10"/>
  <c r="AC19" i="10"/>
  <c r="AD19" i="10"/>
  <c r="AE19" i="10" s="1"/>
  <c r="AG19" i="10"/>
  <c r="AH19" i="10"/>
  <c r="S20" i="10"/>
  <c r="W20" i="10"/>
  <c r="AC20" i="10"/>
  <c r="AD20" i="10"/>
  <c r="AE20" i="10" s="1"/>
  <c r="AG20" i="10"/>
  <c r="AH20" i="10"/>
  <c r="S21" i="10"/>
  <c r="W21" i="10"/>
  <c r="AC21" i="10"/>
  <c r="AD21" i="10"/>
  <c r="AE21" i="10" s="1"/>
  <c r="AG21" i="10"/>
  <c r="AH21" i="10"/>
  <c r="S22" i="10"/>
  <c r="W22" i="10"/>
  <c r="AC22" i="10"/>
  <c r="AD22" i="10"/>
  <c r="AE22" i="10"/>
  <c r="AG22" i="10"/>
  <c r="AH22" i="10"/>
  <c r="S23" i="10"/>
  <c r="W23" i="10"/>
  <c r="AC23" i="10"/>
  <c r="AD23" i="10"/>
  <c r="AE23" i="10" s="1"/>
  <c r="AG23" i="10"/>
  <c r="AH23" i="10"/>
  <c r="I24" i="10"/>
  <c r="S24" i="10"/>
  <c r="W24" i="10"/>
  <c r="AC24" i="10"/>
  <c r="AD24" i="10"/>
  <c r="AE24" i="10" s="1"/>
  <c r="AG24" i="10"/>
  <c r="AH24" i="10"/>
  <c r="S25" i="10"/>
  <c r="W25" i="10"/>
  <c r="AC25" i="10"/>
  <c r="AD25" i="10"/>
  <c r="AE25" i="10"/>
  <c r="AG25" i="10"/>
  <c r="AH25" i="10"/>
  <c r="S26" i="10"/>
  <c r="W26" i="10"/>
  <c r="AC26" i="10"/>
  <c r="AD26" i="10"/>
  <c r="AE26" i="10" s="1"/>
  <c r="AG26" i="10"/>
  <c r="AH26" i="10"/>
  <c r="O27" i="10"/>
  <c r="S27" i="10" s="1"/>
  <c r="U27" i="10"/>
  <c r="W27" i="10"/>
  <c r="AC27" i="10"/>
  <c r="AD27" i="10"/>
  <c r="AE27" i="10"/>
  <c r="AG27" i="10"/>
  <c r="AH27" i="10"/>
  <c r="K28" i="10"/>
  <c r="S28" i="10"/>
  <c r="W28" i="10"/>
  <c r="AC28" i="10"/>
  <c r="AD28" i="10"/>
  <c r="AE28" i="10"/>
  <c r="AG28" i="10"/>
  <c r="AH28" i="10"/>
  <c r="S29" i="10"/>
  <c r="W29" i="10"/>
  <c r="AC29" i="10"/>
  <c r="AD29" i="10"/>
  <c r="AE29" i="10" s="1"/>
  <c r="AG29" i="10"/>
  <c r="AH29" i="10"/>
  <c r="S30" i="10"/>
  <c r="W30" i="10"/>
  <c r="AC30" i="10"/>
  <c r="AD30" i="10"/>
  <c r="AE30" i="10" s="1"/>
  <c r="AG30" i="10"/>
  <c r="AH30" i="10"/>
  <c r="G31" i="10"/>
  <c r="S31" i="10"/>
  <c r="W31" i="10"/>
  <c r="AC31" i="10"/>
  <c r="AD31" i="10"/>
  <c r="AE31" i="10" s="1"/>
  <c r="AG31" i="10"/>
  <c r="AH31" i="10"/>
  <c r="S32" i="10"/>
  <c r="W32" i="10"/>
  <c r="AC32" i="10"/>
  <c r="AD32" i="10"/>
  <c r="AE32" i="10"/>
  <c r="AG32" i="10"/>
  <c r="AH32" i="10"/>
  <c r="S33" i="10"/>
  <c r="W33" i="10"/>
  <c r="AC33" i="10"/>
  <c r="AD33" i="10"/>
  <c r="AE33" i="10" s="1"/>
  <c r="AG33" i="10"/>
  <c r="AH33" i="10"/>
  <c r="S34" i="10"/>
  <c r="W34" i="10"/>
  <c r="AC34" i="10"/>
  <c r="AD34" i="10"/>
  <c r="AE34" i="10" s="1"/>
  <c r="AG34" i="10"/>
  <c r="AH34" i="10"/>
  <c r="G35" i="10"/>
  <c r="S35" i="10" s="1"/>
  <c r="W35" i="10"/>
  <c r="AC35" i="10"/>
  <c r="AD35" i="10"/>
  <c r="AE35" i="10" s="1"/>
  <c r="AG35" i="10"/>
  <c r="AH35" i="10"/>
  <c r="S36" i="10"/>
  <c r="W36" i="10"/>
  <c r="AC36" i="10"/>
  <c r="AD36" i="10"/>
  <c r="AE36" i="10" s="1"/>
  <c r="AG36" i="10"/>
  <c r="AH36" i="10"/>
  <c r="S37" i="10"/>
  <c r="W37" i="10"/>
  <c r="AC37" i="10"/>
  <c r="AD37" i="10"/>
  <c r="AE37" i="10" s="1"/>
  <c r="AG37" i="10"/>
  <c r="AH37" i="10"/>
  <c r="S38" i="10"/>
  <c r="W38" i="10"/>
  <c r="AC38" i="10"/>
  <c r="AD38" i="10"/>
  <c r="AE38" i="10"/>
  <c r="AG38" i="10"/>
  <c r="AH38" i="10"/>
  <c r="S39" i="10"/>
  <c r="W39" i="10"/>
  <c r="AC39" i="10"/>
  <c r="AD39" i="10"/>
  <c r="AE39" i="10" s="1"/>
  <c r="AG39" i="10"/>
  <c r="AH39" i="10"/>
  <c r="S40" i="10"/>
  <c r="W40" i="10"/>
  <c r="AC40" i="10"/>
  <c r="AD40" i="10"/>
  <c r="AE40" i="10" s="1"/>
  <c r="AG40" i="10"/>
  <c r="AH40" i="10"/>
  <c r="S41" i="10"/>
  <c r="W41" i="10"/>
  <c r="AC41" i="10"/>
  <c r="AD41" i="10"/>
  <c r="AE41" i="10" s="1"/>
  <c r="AG41" i="10"/>
  <c r="AH41" i="10"/>
  <c r="S42" i="10"/>
  <c r="W42" i="10"/>
  <c r="AC42" i="10"/>
  <c r="AD42" i="10"/>
  <c r="AE42" i="10" s="1"/>
  <c r="AG42" i="10"/>
  <c r="AH42" i="10"/>
  <c r="S43" i="10"/>
  <c r="W43" i="10"/>
  <c r="AC43" i="10"/>
  <c r="AD43" i="10"/>
  <c r="AE43" i="10" s="1"/>
  <c r="AG43" i="10"/>
  <c r="AH43" i="10"/>
  <c r="G44" i="10"/>
  <c r="S44" i="10" s="1"/>
  <c r="W44" i="10"/>
  <c r="AC44" i="10"/>
  <c r="AD44" i="10"/>
  <c r="AE44" i="10" s="1"/>
  <c r="AG44" i="10"/>
  <c r="AH44" i="10"/>
  <c r="S45" i="10"/>
  <c r="W45" i="10"/>
  <c r="AC45" i="10"/>
  <c r="AD45" i="10"/>
  <c r="AE45" i="10"/>
  <c r="AG45" i="10"/>
  <c r="AH45" i="10"/>
  <c r="S46" i="10"/>
  <c r="W46" i="10"/>
  <c r="AC46" i="10"/>
  <c r="AD46" i="10"/>
  <c r="AE46" i="10" s="1"/>
  <c r="AG46" i="10"/>
  <c r="AH46" i="10"/>
  <c r="G47" i="10"/>
  <c r="S47" i="10"/>
  <c r="W47" i="10"/>
  <c r="AC47" i="10"/>
  <c r="AD47" i="10"/>
  <c r="AE47" i="10" s="1"/>
  <c r="AG47" i="10"/>
  <c r="AH47" i="10"/>
  <c r="S48" i="10"/>
  <c r="W48" i="10"/>
  <c r="AC48" i="10"/>
  <c r="AD48" i="10"/>
  <c r="AE48" i="10"/>
  <c r="AG48" i="10"/>
  <c r="AH48" i="10"/>
  <c r="S49" i="10"/>
  <c r="W49" i="10"/>
  <c r="AC49" i="10"/>
  <c r="AD49" i="10"/>
  <c r="AE49" i="10" s="1"/>
  <c r="AG49" i="10"/>
  <c r="AH49" i="10"/>
  <c r="S50" i="10"/>
  <c r="W50" i="10"/>
  <c r="AC50" i="10"/>
  <c r="AD50" i="10"/>
  <c r="AE50" i="10" s="1"/>
  <c r="AG50" i="10"/>
  <c r="AH50" i="10"/>
  <c r="S51" i="10"/>
  <c r="W51" i="10"/>
  <c r="AC51" i="10"/>
  <c r="AD51" i="10"/>
  <c r="AE51" i="10" s="1"/>
  <c r="AG51" i="10"/>
  <c r="AH51" i="10"/>
  <c r="S52" i="10"/>
  <c r="W52" i="10"/>
  <c r="AC52" i="10"/>
  <c r="AD52" i="10"/>
  <c r="AE52" i="10" s="1"/>
  <c r="AG52" i="10"/>
  <c r="AH52" i="10"/>
  <c r="S53" i="10"/>
  <c r="W53" i="10"/>
  <c r="AC53" i="10"/>
  <c r="AD53" i="10"/>
  <c r="AE53" i="10" s="1"/>
  <c r="AG53" i="10"/>
  <c r="AH53" i="10"/>
  <c r="G54" i="10"/>
  <c r="S54" i="10" s="1"/>
  <c r="W54" i="10"/>
  <c r="AC54" i="10"/>
  <c r="AD54" i="10"/>
  <c r="AE54" i="10" s="1"/>
  <c r="AG54" i="10"/>
  <c r="AH54" i="10"/>
  <c r="S55" i="10"/>
  <c r="W55" i="10"/>
  <c r="AC55" i="10"/>
  <c r="AD55" i="10"/>
  <c r="AE55" i="10"/>
  <c r="AG55" i="10"/>
  <c r="AH55" i="10"/>
  <c r="S56" i="10"/>
  <c r="W56" i="10"/>
  <c r="AC56" i="10"/>
  <c r="AD56" i="10"/>
  <c r="AE56" i="10" s="1"/>
  <c r="AG56" i="10"/>
  <c r="AH56" i="10"/>
  <c r="S57" i="10"/>
  <c r="W57" i="10"/>
  <c r="AC57" i="10"/>
  <c r="AD57" i="10"/>
  <c r="AE57" i="10" s="1"/>
  <c r="AG57" i="10"/>
  <c r="AH57" i="10"/>
  <c r="S58" i="10"/>
  <c r="W58" i="10"/>
  <c r="AC58" i="10"/>
  <c r="AD58" i="10"/>
  <c r="AE58" i="10" s="1"/>
  <c r="AG58" i="10"/>
  <c r="AH58" i="10"/>
  <c r="G59" i="10"/>
  <c r="S59" i="10" s="1"/>
  <c r="W59" i="10"/>
  <c r="AC59" i="10"/>
  <c r="AD59" i="10"/>
  <c r="AE59" i="10" s="1"/>
  <c r="AG59" i="10"/>
  <c r="AH59" i="10"/>
  <c r="S60" i="10"/>
  <c r="W60" i="10"/>
  <c r="AC60" i="10"/>
  <c r="AD60" i="10"/>
  <c r="AE60" i="10" s="1"/>
  <c r="AG60" i="10"/>
  <c r="AH60" i="10"/>
  <c r="S61" i="10"/>
  <c r="W61" i="10"/>
  <c r="AC61" i="10"/>
  <c r="AD61" i="10"/>
  <c r="AE61" i="10"/>
  <c r="AG61" i="10"/>
  <c r="AH61" i="10"/>
  <c r="G62" i="10"/>
  <c r="S62" i="10"/>
  <c r="W62" i="10"/>
  <c r="AC62" i="10"/>
  <c r="AD62" i="10"/>
  <c r="AE62" i="10"/>
  <c r="AG62" i="10"/>
  <c r="AH62" i="10"/>
  <c r="S63" i="10"/>
  <c r="W63" i="10"/>
  <c r="AC63" i="10"/>
  <c r="AD63" i="10"/>
  <c r="AE63" i="10" s="1"/>
  <c r="AG63" i="10"/>
  <c r="AH63" i="10"/>
  <c r="S64" i="10"/>
  <c r="W64" i="10"/>
  <c r="AC64" i="10"/>
  <c r="AD64" i="10"/>
  <c r="AE64" i="10" s="1"/>
  <c r="AG64" i="10"/>
  <c r="AH64" i="10"/>
  <c r="K14" i="1"/>
  <c r="O14" i="1"/>
  <c r="AE14" i="1"/>
  <c r="AG14" i="1"/>
  <c r="AK14" i="1"/>
  <c r="AL14" i="1"/>
  <c r="AO14" i="1"/>
  <c r="AP14" i="1"/>
  <c r="K15" i="1"/>
  <c r="O15" i="1"/>
  <c r="AE15" i="1"/>
  <c r="AG15" i="1"/>
  <c r="AK15" i="1"/>
  <c r="AL15" i="1"/>
  <c r="AM15" i="1"/>
  <c r="AO15" i="1"/>
  <c r="AP15" i="1"/>
  <c r="K16" i="1"/>
  <c r="O16" i="1"/>
  <c r="AG16" i="1" s="1"/>
  <c r="AE16" i="1"/>
  <c r="AK16" i="1"/>
  <c r="AL16" i="1"/>
  <c r="AM16" i="1"/>
  <c r="AO16" i="1"/>
  <c r="AP16" i="1"/>
  <c r="G17" i="1"/>
  <c r="K17" i="1"/>
  <c r="AG17" i="1" s="1"/>
  <c r="O17" i="1"/>
  <c r="AE17" i="1"/>
  <c r="AK17" i="1"/>
  <c r="AL17" i="1"/>
  <c r="AO17" i="1"/>
  <c r="AP17" i="1"/>
  <c r="K18" i="1"/>
  <c r="AG18" i="1" s="1"/>
  <c r="O18" i="1"/>
  <c r="U18" i="1"/>
  <c r="AE18" i="1" s="1"/>
  <c r="W18" i="1"/>
  <c r="AK18" i="1"/>
  <c r="AL18" i="1"/>
  <c r="AO18" i="1"/>
  <c r="AP18" i="1"/>
  <c r="K19" i="1"/>
  <c r="AG19" i="1" s="1"/>
  <c r="O19" i="1"/>
  <c r="Q19" i="1"/>
  <c r="U19" i="1"/>
  <c r="W19" i="1"/>
  <c r="AA19" i="1"/>
  <c r="AE19" i="1" s="1"/>
  <c r="AK19" i="1"/>
  <c r="AL19" i="1"/>
  <c r="AO19" i="1"/>
  <c r="AP19" i="1"/>
  <c r="K20" i="1"/>
  <c r="O20" i="1"/>
  <c r="AE20" i="1"/>
  <c r="AG20" i="1"/>
  <c r="AK20" i="1"/>
  <c r="AL20" i="1"/>
  <c r="AM20" i="1" s="1"/>
  <c r="AO20" i="1"/>
  <c r="AP20" i="1"/>
  <c r="G21" i="1"/>
  <c r="K21" i="1"/>
  <c r="AG21" i="1" s="1"/>
  <c r="O21" i="1"/>
  <c r="AE21" i="1"/>
  <c r="AK21" i="1"/>
  <c r="AL21" i="1"/>
  <c r="AO21" i="1"/>
  <c r="AP21" i="1"/>
  <c r="K22" i="1"/>
  <c r="AG22" i="1" s="1"/>
  <c r="O22" i="1"/>
  <c r="AE22" i="1"/>
  <c r="AK22" i="1"/>
  <c r="AL22" i="1"/>
  <c r="AO22" i="1"/>
  <c r="AP22" i="1"/>
  <c r="K23" i="1"/>
  <c r="Q23" i="1"/>
  <c r="O23" i="1" s="1"/>
  <c r="AG23" i="1" s="1"/>
  <c r="W23" i="1"/>
  <c r="AA23" i="1"/>
  <c r="AE23" i="1" s="1"/>
  <c r="AK23" i="1"/>
  <c r="AL23" i="1"/>
  <c r="AO23" i="1"/>
  <c r="AP23" i="1"/>
  <c r="K24" i="1"/>
  <c r="O24" i="1"/>
  <c r="AE24" i="1"/>
  <c r="AG24" i="1"/>
  <c r="AK24" i="1"/>
  <c r="AL24" i="1"/>
  <c r="AM24" i="1" s="1"/>
  <c r="AO24" i="1"/>
  <c r="AP24" i="1"/>
  <c r="G25" i="1"/>
  <c r="K25" i="1"/>
  <c r="O25" i="1"/>
  <c r="AG25" i="1" s="1"/>
  <c r="Q25" i="1"/>
  <c r="U25" i="1"/>
  <c r="W25" i="1"/>
  <c r="Y25" i="1"/>
  <c r="AA25" i="1"/>
  <c r="AE25" i="1" s="1"/>
  <c r="AK25" i="1"/>
  <c r="AL25" i="1"/>
  <c r="AO25" i="1"/>
  <c r="AP25" i="1"/>
  <c r="K26" i="1"/>
  <c r="Q26" i="1"/>
  <c r="O26" i="1" s="1"/>
  <c r="AG26" i="1" s="1"/>
  <c r="U26" i="1"/>
  <c r="W26" i="1"/>
  <c r="Y26" i="1"/>
  <c r="AA26" i="1"/>
  <c r="AE26" i="1"/>
  <c r="AK26" i="1"/>
  <c r="AL26" i="1"/>
  <c r="AM26" i="1" s="1"/>
  <c r="AO26" i="1"/>
  <c r="AP26" i="1"/>
  <c r="K27" i="1"/>
  <c r="AG27" i="1" s="1"/>
  <c r="O27" i="1"/>
  <c r="AE27" i="1"/>
  <c r="AK27" i="1"/>
  <c r="AL27" i="1"/>
  <c r="AO27" i="1"/>
  <c r="AP27" i="1"/>
  <c r="K28" i="1"/>
  <c r="AG28" i="1" s="1"/>
  <c r="O28" i="1"/>
  <c r="Q28" i="1"/>
  <c r="U28" i="1"/>
  <c r="Y28" i="1"/>
  <c r="AA28" i="1"/>
  <c r="AE28" i="1" s="1"/>
  <c r="AK28" i="1"/>
  <c r="AL28" i="1"/>
  <c r="AO28" i="1"/>
  <c r="AP28" i="1"/>
  <c r="G29" i="1"/>
  <c r="K29" i="1" s="1"/>
  <c r="AG29" i="1" s="1"/>
  <c r="O29" i="1"/>
  <c r="AE29" i="1"/>
  <c r="AK29" i="1"/>
  <c r="AL29" i="1"/>
  <c r="AM29" i="1"/>
  <c r="AO29" i="1"/>
  <c r="AP29" i="1"/>
  <c r="K30" i="1"/>
  <c r="AG30" i="1" s="1"/>
  <c r="O30" i="1"/>
  <c r="AE30" i="1"/>
  <c r="AK30" i="1"/>
  <c r="AL30" i="1"/>
  <c r="AO30" i="1"/>
  <c r="AP30" i="1"/>
  <c r="K31" i="1"/>
  <c r="AG31" i="1" s="1"/>
  <c r="O31" i="1"/>
  <c r="AE31" i="1"/>
  <c r="AK31" i="1"/>
  <c r="AL31" i="1"/>
  <c r="AO31" i="1"/>
  <c r="AP31" i="1"/>
  <c r="K32" i="1"/>
  <c r="O32" i="1"/>
  <c r="AE32" i="1"/>
  <c r="AG32" i="1"/>
  <c r="AK32" i="1"/>
  <c r="AL32" i="1"/>
  <c r="AM32" i="1" s="1"/>
  <c r="AO32" i="1"/>
  <c r="AP32" i="1"/>
  <c r="K33" i="1"/>
  <c r="O33" i="1"/>
  <c r="AG33" i="1" s="1"/>
  <c r="U33" i="1"/>
  <c r="AE33" i="1" s="1"/>
  <c r="W33" i="1"/>
  <c r="AK33" i="1"/>
  <c r="AL33" i="1"/>
  <c r="AO33" i="1"/>
  <c r="AP33" i="1"/>
  <c r="K34" i="1"/>
  <c r="O34" i="1"/>
  <c r="AE34" i="1"/>
  <c r="AG34" i="1"/>
  <c r="AK34" i="1"/>
  <c r="AL34" i="1"/>
  <c r="AM34" i="1"/>
  <c r="AO34" i="1"/>
  <c r="AP34" i="1"/>
  <c r="K35" i="1"/>
  <c r="O35" i="1"/>
  <c r="AG35" i="1" s="1"/>
  <c r="AE35" i="1"/>
  <c r="AK35" i="1"/>
  <c r="AL35" i="1"/>
  <c r="AM35" i="1"/>
  <c r="AO35" i="1"/>
  <c r="AP35" i="1"/>
  <c r="K36" i="1"/>
  <c r="AG36" i="1" s="1"/>
  <c r="O36" i="1"/>
  <c r="AE36" i="1"/>
  <c r="AK36" i="1"/>
  <c r="AL36" i="1"/>
  <c r="AO36" i="1"/>
  <c r="AP36" i="1"/>
  <c r="K37" i="1"/>
  <c r="AG37" i="1" s="1"/>
  <c r="O37" i="1"/>
  <c r="AE37" i="1"/>
  <c r="AK37" i="1"/>
  <c r="AL37" i="1"/>
  <c r="AO37" i="1"/>
  <c r="AP37" i="1"/>
  <c r="K38" i="1"/>
  <c r="O38" i="1"/>
  <c r="AE38" i="1"/>
  <c r="AG38" i="1"/>
  <c r="AK38" i="1"/>
  <c r="AL38" i="1"/>
  <c r="AM38" i="1" s="1"/>
  <c r="AO38" i="1"/>
  <c r="AP38" i="1"/>
  <c r="K39" i="1"/>
  <c r="O39" i="1"/>
  <c r="AG39" i="1" s="1"/>
  <c r="AE39" i="1"/>
  <c r="AK39" i="1"/>
  <c r="AL39" i="1"/>
  <c r="AM39" i="1" s="1"/>
  <c r="AO39" i="1"/>
  <c r="AP39" i="1"/>
  <c r="K40" i="1"/>
  <c r="AG40" i="1" s="1"/>
  <c r="O40" i="1"/>
  <c r="AE40" i="1"/>
  <c r="AK40" i="1"/>
  <c r="AL40" i="1"/>
  <c r="AO40" i="1"/>
  <c r="AP40" i="1"/>
  <c r="K41" i="1"/>
  <c r="AG41" i="1" s="1"/>
  <c r="O41" i="1"/>
  <c r="AE41" i="1"/>
  <c r="AK41" i="1"/>
  <c r="AL41" i="1"/>
  <c r="AO41" i="1"/>
  <c r="AP41" i="1"/>
  <c r="G42" i="1"/>
  <c r="K42" i="1" s="1"/>
  <c r="AG42" i="1" s="1"/>
  <c r="O42" i="1"/>
  <c r="U42" i="1"/>
  <c r="W42" i="1"/>
  <c r="Y42" i="1"/>
  <c r="AA42" i="1"/>
  <c r="AE42" i="1"/>
  <c r="AK42" i="1"/>
  <c r="AL42" i="1"/>
  <c r="AM42" i="1" s="1"/>
  <c r="AO42" i="1"/>
  <c r="AP42" i="1"/>
  <c r="K43" i="1"/>
  <c r="AG43" i="1" s="1"/>
  <c r="O43" i="1"/>
  <c r="AE43" i="1"/>
  <c r="AK43" i="1"/>
  <c r="AL43" i="1"/>
  <c r="AO43" i="1"/>
  <c r="AP43" i="1"/>
  <c r="K44" i="1"/>
  <c r="AG44" i="1" s="1"/>
  <c r="O44" i="1"/>
  <c r="Q44" i="1"/>
  <c r="U44" i="1"/>
  <c r="W44" i="1"/>
  <c r="AA44" i="1"/>
  <c r="AE44" i="1" s="1"/>
  <c r="AK44" i="1"/>
  <c r="AL44" i="1"/>
  <c r="AO44" i="1"/>
  <c r="AP44" i="1"/>
  <c r="K45" i="1"/>
  <c r="O45" i="1"/>
  <c r="AE45" i="1"/>
  <c r="AG45" i="1"/>
  <c r="AK45" i="1"/>
  <c r="AL45" i="1"/>
  <c r="AM45" i="1" s="1"/>
  <c r="AO45" i="1"/>
  <c r="AP45" i="1"/>
  <c r="G46" i="1"/>
  <c r="K46" i="1"/>
  <c r="AG46" i="1" s="1"/>
  <c r="O46" i="1"/>
  <c r="AE46" i="1"/>
  <c r="AK46" i="1"/>
  <c r="AL46" i="1"/>
  <c r="AO46" i="1"/>
  <c r="AP46" i="1"/>
  <c r="G47" i="1"/>
  <c r="K47" i="1" s="1"/>
  <c r="Q47" i="1"/>
  <c r="O47" i="1" s="1"/>
  <c r="U47" i="1"/>
  <c r="W47" i="1"/>
  <c r="Y47" i="1"/>
  <c r="AA47" i="1"/>
  <c r="AE47" i="1"/>
  <c r="AK47" i="1"/>
  <c r="AL47" i="1"/>
  <c r="AM47" i="1" s="1"/>
  <c r="AO47" i="1"/>
  <c r="AP47" i="1"/>
  <c r="K48" i="1"/>
  <c r="AG48" i="1" s="1"/>
  <c r="O48" i="1"/>
  <c r="AE48" i="1"/>
  <c r="AK48" i="1"/>
  <c r="AL48" i="1"/>
  <c r="AO48" i="1"/>
  <c r="AP48" i="1"/>
  <c r="K49" i="1"/>
  <c r="AG49" i="1" s="1"/>
  <c r="O49" i="1"/>
  <c r="AE49" i="1"/>
  <c r="AK49" i="1"/>
  <c r="AL49" i="1"/>
  <c r="AO49" i="1"/>
  <c r="AP49" i="1"/>
  <c r="K50" i="1"/>
  <c r="O50" i="1"/>
  <c r="AE50" i="1"/>
  <c r="AG50" i="1"/>
  <c r="AK50" i="1"/>
  <c r="AL50" i="1"/>
  <c r="AM50" i="1" s="1"/>
  <c r="AO50" i="1"/>
  <c r="AP50" i="1"/>
  <c r="K51" i="1"/>
  <c r="O51" i="1"/>
  <c r="AG51" i="1" s="1"/>
  <c r="AE51" i="1"/>
  <c r="AK51" i="1"/>
  <c r="AL51" i="1"/>
  <c r="AM51" i="1" s="1"/>
  <c r="AO51" i="1"/>
  <c r="AP51" i="1"/>
  <c r="K52" i="1"/>
  <c r="AG52" i="1" s="1"/>
  <c r="O52" i="1"/>
  <c r="AE52" i="1"/>
  <c r="AK52" i="1"/>
  <c r="AL52" i="1"/>
  <c r="AO52" i="1"/>
  <c r="AP52" i="1"/>
  <c r="K53" i="1"/>
  <c r="AG53" i="1" s="1"/>
  <c r="O53" i="1"/>
  <c r="Q53" i="1"/>
  <c r="U53" i="1"/>
  <c r="W53" i="1"/>
  <c r="AA53" i="1"/>
  <c r="AE53" i="1" s="1"/>
  <c r="AK53" i="1"/>
  <c r="AL53" i="1"/>
  <c r="AO53" i="1"/>
  <c r="AP53" i="1"/>
  <c r="K54" i="1"/>
  <c r="AG54" i="1" s="1"/>
  <c r="O54" i="1"/>
  <c r="U54" i="1"/>
  <c r="AE54" i="1" s="1"/>
  <c r="W54" i="1"/>
  <c r="AK54" i="1"/>
  <c r="AL54" i="1"/>
  <c r="AO54" i="1"/>
  <c r="AP54" i="1"/>
  <c r="K55" i="1"/>
  <c r="AG55" i="1" s="1"/>
  <c r="O55" i="1"/>
  <c r="AE55" i="1"/>
  <c r="AK55" i="1"/>
  <c r="AL55" i="1"/>
  <c r="AO55" i="1"/>
  <c r="AP55" i="1"/>
  <c r="K56" i="1"/>
  <c r="O56" i="1"/>
  <c r="AE56" i="1"/>
  <c r="AG56" i="1"/>
  <c r="AK56" i="1"/>
  <c r="AL56" i="1"/>
  <c r="AM56" i="1" s="1"/>
  <c r="AO56" i="1"/>
  <c r="AP56" i="1"/>
  <c r="K57" i="1"/>
  <c r="Q57" i="1"/>
  <c r="O57" i="1" s="1"/>
  <c r="AG57" i="1" s="1"/>
  <c r="U57" i="1"/>
  <c r="W57" i="1"/>
  <c r="Y57" i="1"/>
  <c r="AA57" i="1"/>
  <c r="AE57" i="1" s="1"/>
  <c r="AK57" i="1"/>
  <c r="AL57" i="1"/>
  <c r="AO57" i="1"/>
  <c r="AP57" i="1"/>
  <c r="K58" i="1"/>
  <c r="AG58" i="1" s="1"/>
  <c r="O58" i="1"/>
  <c r="AE58" i="1"/>
  <c r="AK58" i="1"/>
  <c r="AL58" i="1"/>
  <c r="AO58" i="1"/>
  <c r="AP58" i="1"/>
  <c r="K59" i="1"/>
  <c r="O59" i="1"/>
  <c r="AE59" i="1"/>
  <c r="AG59" i="1"/>
  <c r="AK59" i="1"/>
  <c r="AL59" i="1"/>
  <c r="AM59" i="1" s="1"/>
  <c r="AO59" i="1"/>
  <c r="AP59" i="1"/>
  <c r="G60" i="1"/>
  <c r="K60" i="1"/>
  <c r="AG60" i="1" s="1"/>
  <c r="O60" i="1"/>
  <c r="U60" i="1"/>
  <c r="W60" i="1"/>
  <c r="AA60" i="1"/>
  <c r="AE60" i="1"/>
  <c r="AK60" i="1"/>
  <c r="AL60" i="1"/>
  <c r="AM60" i="1" s="1"/>
  <c r="AO60" i="1"/>
  <c r="AP60" i="1"/>
  <c r="K61" i="1"/>
  <c r="AG61" i="1" s="1"/>
  <c r="O61" i="1"/>
  <c r="Q61" i="1"/>
  <c r="U61" i="1"/>
  <c r="W61" i="1"/>
  <c r="AA61" i="1"/>
  <c r="AE61" i="1" s="1"/>
  <c r="AK61" i="1"/>
  <c r="AL61" i="1"/>
  <c r="AO61" i="1"/>
  <c r="AP61" i="1"/>
  <c r="G62" i="1"/>
  <c r="K62" i="1" s="1"/>
  <c r="AG62" i="1" s="1"/>
  <c r="O62" i="1"/>
  <c r="AE62" i="1"/>
  <c r="AK62" i="1"/>
  <c r="AL62" i="1"/>
  <c r="AM62" i="1" s="1"/>
  <c r="AO62" i="1"/>
  <c r="AP62" i="1"/>
  <c r="G63" i="1"/>
  <c r="I63" i="1"/>
  <c r="AG63" i="1" s="1"/>
  <c r="K63" i="1"/>
  <c r="O63" i="1"/>
  <c r="AE63" i="1"/>
  <c r="AK63" i="1"/>
  <c r="AL63" i="1"/>
  <c r="AO63" i="1"/>
  <c r="AP63" i="1"/>
  <c r="K64" i="1"/>
  <c r="O64" i="1"/>
  <c r="AE64" i="1"/>
  <c r="AG64" i="1"/>
  <c r="AK64" i="1"/>
  <c r="AL64" i="1"/>
  <c r="AM64" i="1" s="1"/>
  <c r="AO64" i="1"/>
  <c r="AP64" i="1"/>
  <c r="K14" i="6"/>
  <c r="AG14" i="6" s="1"/>
  <c r="O14" i="6"/>
  <c r="AE14" i="6"/>
  <c r="AK14" i="6"/>
  <c r="AL14" i="6"/>
  <c r="AM14" i="6" s="1"/>
  <c r="AO14" i="6"/>
  <c r="AP14" i="6"/>
  <c r="AQ14" i="6" s="1"/>
  <c r="K15" i="6"/>
  <c r="AG15" i="6" s="1"/>
  <c r="O15" i="6"/>
  <c r="AE15" i="6"/>
  <c r="AK15" i="6"/>
  <c r="AL15" i="6"/>
  <c r="AO15" i="6"/>
  <c r="AP15" i="6"/>
  <c r="AQ15" i="6" s="1"/>
  <c r="K16" i="6"/>
  <c r="AG16" i="6" s="1"/>
  <c r="O16" i="6"/>
  <c r="AE16" i="6"/>
  <c r="AK16" i="6"/>
  <c r="AL16" i="6"/>
  <c r="AM16" i="6" s="1"/>
  <c r="AO16" i="6"/>
  <c r="AP16" i="6"/>
  <c r="AQ16" i="6" s="1"/>
  <c r="G17" i="6"/>
  <c r="K17" i="6" s="1"/>
  <c r="AG17" i="6" s="1"/>
  <c r="O17" i="6"/>
  <c r="AE17" i="6"/>
  <c r="AK17" i="6"/>
  <c r="AL17" i="6"/>
  <c r="AM17" i="6" s="1"/>
  <c r="AO17" i="6"/>
  <c r="AP17" i="6"/>
  <c r="AQ17" i="6" s="1"/>
  <c r="K18" i="6"/>
  <c r="O18" i="6"/>
  <c r="U18" i="6"/>
  <c r="W18" i="6"/>
  <c r="AE18" i="6" s="1"/>
  <c r="AG18" i="6"/>
  <c r="AK18" i="6"/>
  <c r="AL18" i="6"/>
  <c r="AM18" i="6" s="1"/>
  <c r="AO18" i="6"/>
  <c r="AP18" i="6"/>
  <c r="AQ18" i="6" s="1"/>
  <c r="K19" i="6"/>
  <c r="O19" i="6"/>
  <c r="AG19" i="6" s="1"/>
  <c r="Q19" i="6"/>
  <c r="U19" i="6"/>
  <c r="AE19" i="6" s="1"/>
  <c r="W19" i="6"/>
  <c r="AA19" i="6"/>
  <c r="AK19" i="6"/>
  <c r="AL19" i="6"/>
  <c r="AO19" i="6"/>
  <c r="AP19" i="6"/>
  <c r="AQ19" i="6" s="1"/>
  <c r="K20" i="6"/>
  <c r="O20" i="6"/>
  <c r="AE20" i="6"/>
  <c r="AG20" i="6"/>
  <c r="AK20" i="6"/>
  <c r="AL20" i="6"/>
  <c r="AM20" i="6" s="1"/>
  <c r="AO20" i="6"/>
  <c r="AP20" i="6"/>
  <c r="AQ20" i="6" s="1"/>
  <c r="G21" i="6"/>
  <c r="K21" i="6"/>
  <c r="AG21" i="6" s="1"/>
  <c r="O21" i="6"/>
  <c r="AE21" i="6"/>
  <c r="AK21" i="6"/>
  <c r="AL21" i="6"/>
  <c r="AO21" i="6"/>
  <c r="AP21" i="6"/>
  <c r="AQ21" i="6" s="1"/>
  <c r="K22" i="6"/>
  <c r="AG22" i="6" s="1"/>
  <c r="O22" i="6"/>
  <c r="AE22" i="6"/>
  <c r="AK22" i="6"/>
  <c r="AL22" i="6"/>
  <c r="AO22" i="6"/>
  <c r="AP22" i="6"/>
  <c r="AQ22" i="6" s="1"/>
  <c r="K23" i="6"/>
  <c r="Q23" i="6"/>
  <c r="O23" i="6" s="1"/>
  <c r="AA23" i="6"/>
  <c r="AE23" i="6"/>
  <c r="AK23" i="6"/>
  <c r="AL23" i="6"/>
  <c r="AO23" i="6"/>
  <c r="AP23" i="6"/>
  <c r="AQ23" i="6" s="1"/>
  <c r="K24" i="6"/>
  <c r="AG24" i="6" s="1"/>
  <c r="O24" i="6"/>
  <c r="AE24" i="6"/>
  <c r="AK24" i="6"/>
  <c r="AL24" i="6"/>
  <c r="AM24" i="6" s="1"/>
  <c r="AO24" i="6"/>
  <c r="AP24" i="6"/>
  <c r="AQ24" i="6" s="1"/>
  <c r="G25" i="6"/>
  <c r="K25" i="6" s="1"/>
  <c r="AG25" i="6" s="1"/>
  <c r="O25" i="6"/>
  <c r="Q25" i="6"/>
  <c r="U25" i="6"/>
  <c r="AE25" i="6" s="1"/>
  <c r="Y25" i="6"/>
  <c r="AA25" i="6"/>
  <c r="AK25" i="6"/>
  <c r="AL25" i="6"/>
  <c r="AO25" i="6"/>
  <c r="AP25" i="6"/>
  <c r="AQ25" i="6" s="1"/>
  <c r="K26" i="6"/>
  <c r="O26" i="6"/>
  <c r="AG26" i="6" s="1"/>
  <c r="Q26" i="6"/>
  <c r="U26" i="6"/>
  <c r="AA26" i="6"/>
  <c r="AE26" i="6"/>
  <c r="AK26" i="6"/>
  <c r="AL26" i="6"/>
  <c r="AM26" i="6" s="1"/>
  <c r="AO26" i="6"/>
  <c r="AP26" i="6"/>
  <c r="AQ26" i="6" s="1"/>
  <c r="K27" i="6"/>
  <c r="AG27" i="6" s="1"/>
  <c r="O27" i="6"/>
  <c r="AE27" i="6"/>
  <c r="AK27" i="6"/>
  <c r="AL27" i="6"/>
  <c r="AO27" i="6"/>
  <c r="AP27" i="6"/>
  <c r="AQ27" i="6" s="1"/>
  <c r="K28" i="6"/>
  <c r="Q28" i="6"/>
  <c r="O28" i="6" s="1"/>
  <c r="AG28" i="6" s="1"/>
  <c r="U28" i="6"/>
  <c r="AE28" i="6" s="1"/>
  <c r="AA28" i="6"/>
  <c r="AK28" i="6"/>
  <c r="AL28" i="6"/>
  <c r="AO28" i="6"/>
  <c r="AP28" i="6"/>
  <c r="AQ28" i="6" s="1"/>
  <c r="G29" i="6"/>
  <c r="K29" i="6"/>
  <c r="AG29" i="6" s="1"/>
  <c r="O29" i="6"/>
  <c r="AE29" i="6"/>
  <c r="AK29" i="6"/>
  <c r="AL29" i="6"/>
  <c r="AO29" i="6"/>
  <c r="AP29" i="6"/>
  <c r="AQ29" i="6" s="1"/>
  <c r="K30" i="6"/>
  <c r="AG30" i="6" s="1"/>
  <c r="O30" i="6"/>
  <c r="AE30" i="6"/>
  <c r="AK30" i="6"/>
  <c r="AL30" i="6"/>
  <c r="AM30" i="6" s="1"/>
  <c r="AO30" i="6"/>
  <c r="AP30" i="6"/>
  <c r="AQ30" i="6" s="1"/>
  <c r="K31" i="6"/>
  <c r="AG31" i="6" s="1"/>
  <c r="O31" i="6"/>
  <c r="AE31" i="6"/>
  <c r="AK31" i="6"/>
  <c r="AL31" i="6"/>
  <c r="AO31" i="6"/>
  <c r="AP31" i="6"/>
  <c r="AQ31" i="6" s="1"/>
  <c r="K32" i="6"/>
  <c r="AG32" i="6" s="1"/>
  <c r="O32" i="6"/>
  <c r="AE32" i="6"/>
  <c r="AK32" i="6"/>
  <c r="AL32" i="6"/>
  <c r="AM32" i="6" s="1"/>
  <c r="AO32" i="6"/>
  <c r="AP32" i="6"/>
  <c r="AQ32" i="6" s="1"/>
  <c r="K33" i="6"/>
  <c r="AG33" i="6" s="1"/>
  <c r="O33" i="6"/>
  <c r="AE33" i="6"/>
  <c r="AK33" i="6"/>
  <c r="AL33" i="6"/>
  <c r="AO33" i="6"/>
  <c r="AP33" i="6"/>
  <c r="AQ33" i="6" s="1"/>
  <c r="K34" i="6"/>
  <c r="AG34" i="6" s="1"/>
  <c r="O34" i="6"/>
  <c r="AE34" i="6"/>
  <c r="AK34" i="6"/>
  <c r="AL34" i="6"/>
  <c r="AM34" i="6" s="1"/>
  <c r="AO34" i="6"/>
  <c r="AP34" i="6"/>
  <c r="AQ34" i="6" s="1"/>
  <c r="K35" i="6"/>
  <c r="AG35" i="6" s="1"/>
  <c r="O35" i="6"/>
  <c r="AE35" i="6"/>
  <c r="AK35" i="6"/>
  <c r="AL35" i="6"/>
  <c r="AO35" i="6"/>
  <c r="AP35" i="6"/>
  <c r="AQ35" i="6" s="1"/>
  <c r="K36" i="6"/>
  <c r="AG36" i="6" s="1"/>
  <c r="O36" i="6"/>
  <c r="AE36" i="6"/>
  <c r="AK36" i="6"/>
  <c r="AL36" i="6"/>
  <c r="AM36" i="6" s="1"/>
  <c r="AO36" i="6"/>
  <c r="AP36" i="6"/>
  <c r="AQ36" i="6" s="1"/>
  <c r="K37" i="6"/>
  <c r="AG37" i="6" s="1"/>
  <c r="O37" i="6"/>
  <c r="AE37" i="6"/>
  <c r="AK37" i="6"/>
  <c r="AL37" i="6"/>
  <c r="AO37" i="6"/>
  <c r="AP37" i="6"/>
  <c r="AQ37" i="6" s="1"/>
  <c r="K38" i="6"/>
  <c r="AG38" i="6" s="1"/>
  <c r="O38" i="6"/>
  <c r="AE38" i="6"/>
  <c r="AK38" i="6"/>
  <c r="AL38" i="6"/>
  <c r="AM38" i="6" s="1"/>
  <c r="AO38" i="6"/>
  <c r="AP38" i="6"/>
  <c r="AQ38" i="6" s="1"/>
  <c r="K39" i="6"/>
  <c r="AG39" i="6" s="1"/>
  <c r="O39" i="6"/>
  <c r="AE39" i="6"/>
  <c r="AK39" i="6"/>
  <c r="AL39" i="6"/>
  <c r="AO39" i="6"/>
  <c r="AP39" i="6"/>
  <c r="AQ39" i="6" s="1"/>
  <c r="K40" i="6"/>
  <c r="AG40" i="6" s="1"/>
  <c r="O40" i="6"/>
  <c r="AE40" i="6"/>
  <c r="AK40" i="6"/>
  <c r="AL40" i="6"/>
  <c r="AM40" i="6" s="1"/>
  <c r="AO40" i="6"/>
  <c r="AP40" i="6"/>
  <c r="AQ40" i="6" s="1"/>
  <c r="K41" i="6"/>
  <c r="AG41" i="6" s="1"/>
  <c r="O41" i="6"/>
  <c r="AE41" i="6"/>
  <c r="AK41" i="6"/>
  <c r="AL41" i="6"/>
  <c r="AO41" i="6"/>
  <c r="AP41" i="6"/>
  <c r="AQ41" i="6" s="1"/>
  <c r="K42" i="6"/>
  <c r="O42" i="6"/>
  <c r="U42" i="6"/>
  <c r="AE42" i="6" s="1"/>
  <c r="W42" i="6"/>
  <c r="AA42" i="6"/>
  <c r="AG42" i="6"/>
  <c r="AK42" i="6"/>
  <c r="AL42" i="6"/>
  <c r="AO42" i="6"/>
  <c r="AP42" i="6"/>
  <c r="AQ42" i="6" s="1"/>
  <c r="K43" i="6"/>
  <c r="O43" i="6"/>
  <c r="AG43" i="6" s="1"/>
  <c r="AE43" i="6"/>
  <c r="AK43" i="6"/>
  <c r="AL43" i="6"/>
  <c r="AM43" i="6" s="1"/>
  <c r="AO43" i="6"/>
  <c r="AP43" i="6"/>
  <c r="AQ43" i="6" s="1"/>
  <c r="K44" i="6"/>
  <c r="O44" i="6"/>
  <c r="Q44" i="6"/>
  <c r="AA44" i="6"/>
  <c r="AE44" i="6" s="1"/>
  <c r="AG44" i="6"/>
  <c r="AK44" i="6"/>
  <c r="AL44" i="6"/>
  <c r="AM44" i="6" s="1"/>
  <c r="AO44" i="6"/>
  <c r="AP44" i="6"/>
  <c r="AQ44" i="6" s="1"/>
  <c r="K45" i="6"/>
  <c r="O45" i="6"/>
  <c r="AG45" i="6" s="1"/>
  <c r="AE45" i="6"/>
  <c r="AK45" i="6"/>
  <c r="AL45" i="6"/>
  <c r="AO45" i="6"/>
  <c r="AP45" i="6"/>
  <c r="AQ45" i="6" s="1"/>
  <c r="K46" i="6"/>
  <c r="O46" i="6"/>
  <c r="AE46" i="6"/>
  <c r="AG46" i="6"/>
  <c r="AK46" i="6"/>
  <c r="AL46" i="6"/>
  <c r="AM46" i="6" s="1"/>
  <c r="AO46" i="6"/>
  <c r="AP46" i="6"/>
  <c r="AQ46" i="6" s="1"/>
  <c r="K47" i="6"/>
  <c r="AG47" i="6" s="1"/>
  <c r="O47" i="6"/>
  <c r="Q47" i="6"/>
  <c r="U47" i="6"/>
  <c r="AA47" i="6"/>
  <c r="AE47" i="6"/>
  <c r="AK47" i="6"/>
  <c r="AL47" i="6"/>
  <c r="AM47" i="6" s="1"/>
  <c r="AO47" i="6"/>
  <c r="AP47" i="6"/>
  <c r="AQ47" i="6" s="1"/>
  <c r="K48" i="6"/>
  <c r="AG48" i="6" s="1"/>
  <c r="O48" i="6"/>
  <c r="AE48" i="6"/>
  <c r="AK48" i="6"/>
  <c r="AL48" i="6"/>
  <c r="AO48" i="6"/>
  <c r="AP48" i="6"/>
  <c r="AQ48" i="6" s="1"/>
  <c r="K49" i="6"/>
  <c r="AG49" i="6" s="1"/>
  <c r="O49" i="6"/>
  <c r="AE49" i="6"/>
  <c r="AK49" i="6"/>
  <c r="AL49" i="6"/>
  <c r="AM49" i="6" s="1"/>
  <c r="AO49" i="6"/>
  <c r="AP49" i="6"/>
  <c r="AQ49" i="6" s="1"/>
  <c r="K50" i="6"/>
  <c r="AG50" i="6" s="1"/>
  <c r="O50" i="6"/>
  <c r="AE50" i="6"/>
  <c r="AK50" i="6"/>
  <c r="AL50" i="6"/>
  <c r="AO50" i="6"/>
  <c r="AP50" i="6"/>
  <c r="AQ50" i="6" s="1"/>
  <c r="K51" i="6"/>
  <c r="AG51" i="6" s="1"/>
  <c r="O51" i="6"/>
  <c r="AE51" i="6"/>
  <c r="AK51" i="6"/>
  <c r="AL51" i="6"/>
  <c r="AM51" i="6" s="1"/>
  <c r="AO51" i="6"/>
  <c r="AP51" i="6"/>
  <c r="AQ51" i="6" s="1"/>
  <c r="K52" i="6"/>
  <c r="AG52" i="6" s="1"/>
  <c r="O52" i="6"/>
  <c r="AE52" i="6"/>
  <c r="AK52" i="6"/>
  <c r="AL52" i="6"/>
  <c r="AO52" i="6"/>
  <c r="AP52" i="6"/>
  <c r="AQ52" i="6" s="1"/>
  <c r="K53" i="6"/>
  <c r="Q53" i="6"/>
  <c r="O53" i="6" s="1"/>
  <c r="AG53" i="6" s="1"/>
  <c r="U53" i="6"/>
  <c r="AA53" i="6"/>
  <c r="AE53" i="6" s="1"/>
  <c r="AK53" i="6"/>
  <c r="AL53" i="6"/>
  <c r="AM53" i="6" s="1"/>
  <c r="AO53" i="6"/>
  <c r="AP53" i="6"/>
  <c r="AQ53" i="6" s="1"/>
  <c r="K54" i="6"/>
  <c r="O54" i="6"/>
  <c r="AG54" i="6" s="1"/>
  <c r="U54" i="6"/>
  <c r="AE54" i="6"/>
  <c r="AK54" i="6"/>
  <c r="AL54" i="6"/>
  <c r="AO54" i="6"/>
  <c r="AP54" i="6"/>
  <c r="AQ54" i="6" s="1"/>
  <c r="K55" i="6"/>
  <c r="AG55" i="6" s="1"/>
  <c r="O55" i="6"/>
  <c r="AE55" i="6"/>
  <c r="AK55" i="6"/>
  <c r="AL55" i="6"/>
  <c r="AM55" i="6" s="1"/>
  <c r="AO55" i="6"/>
  <c r="AP55" i="6"/>
  <c r="AQ55" i="6" s="1"/>
  <c r="K56" i="6"/>
  <c r="AG56" i="6" s="1"/>
  <c r="O56" i="6"/>
  <c r="AE56" i="6"/>
  <c r="AK56" i="6"/>
  <c r="AL56" i="6"/>
  <c r="AO56" i="6"/>
  <c r="AP56" i="6"/>
  <c r="AQ56" i="6" s="1"/>
  <c r="K57" i="6"/>
  <c r="Q57" i="6"/>
  <c r="O57" i="6" s="1"/>
  <c r="AA57" i="6"/>
  <c r="AE57" i="6"/>
  <c r="AK57" i="6"/>
  <c r="AL57" i="6"/>
  <c r="AO57" i="6"/>
  <c r="AP57" i="6"/>
  <c r="AQ57" i="6" s="1"/>
  <c r="K58" i="6"/>
  <c r="AG58" i="6" s="1"/>
  <c r="O58" i="6"/>
  <c r="AE58" i="6"/>
  <c r="AK58" i="6"/>
  <c r="AL58" i="6"/>
  <c r="AM58" i="6" s="1"/>
  <c r="AO58" i="6"/>
  <c r="AP58" i="6"/>
  <c r="AQ58" i="6" s="1"/>
  <c r="K59" i="6"/>
  <c r="AG59" i="6" s="1"/>
  <c r="O59" i="6"/>
  <c r="AE59" i="6"/>
  <c r="AK59" i="6"/>
  <c r="AL59" i="6"/>
  <c r="AO59" i="6"/>
  <c r="AP59" i="6"/>
  <c r="AQ59" i="6" s="1"/>
  <c r="G60" i="6"/>
  <c r="K60" i="6" s="1"/>
  <c r="AG60" i="6" s="1"/>
  <c r="O60" i="6"/>
  <c r="AE60" i="6"/>
  <c r="AK60" i="6"/>
  <c r="AL60" i="6"/>
  <c r="AO60" i="6"/>
  <c r="AP60" i="6"/>
  <c r="AQ60" i="6" s="1"/>
  <c r="K61" i="6"/>
  <c r="O61" i="6"/>
  <c r="AG61" i="6" s="1"/>
  <c r="Q61" i="6"/>
  <c r="U61" i="6"/>
  <c r="AE61" i="6" s="1"/>
  <c r="AA61" i="6"/>
  <c r="AK61" i="6"/>
  <c r="AL61" i="6"/>
  <c r="AO61" i="6"/>
  <c r="AP61" i="6"/>
  <c r="AQ61" i="6" s="1"/>
  <c r="K62" i="6"/>
  <c r="AG62" i="6" s="1"/>
  <c r="O62" i="6"/>
  <c r="AE62" i="6"/>
  <c r="AK62" i="6"/>
  <c r="AL62" i="6"/>
  <c r="AM62" i="6" s="1"/>
  <c r="AO62" i="6"/>
  <c r="AP62" i="6"/>
  <c r="AQ62" i="6" s="1"/>
  <c r="I63" i="6"/>
  <c r="K63" i="6" s="1"/>
  <c r="AG63" i="6" s="1"/>
  <c r="O63" i="6"/>
  <c r="AE63" i="6"/>
  <c r="AK63" i="6"/>
  <c r="AL63" i="6"/>
  <c r="AM63" i="6" s="1"/>
  <c r="AO63" i="6"/>
  <c r="AP63" i="6"/>
  <c r="AQ63" i="6"/>
  <c r="K64" i="6"/>
  <c r="O64" i="6"/>
  <c r="AG64" i="6" s="1"/>
  <c r="AE64" i="6"/>
  <c r="AK64" i="6"/>
  <c r="AL64" i="6"/>
  <c r="AO64" i="6"/>
  <c r="AP64" i="6"/>
  <c r="AQ64" i="6"/>
  <c r="AG65" i="6"/>
  <c r="AG66" i="6"/>
  <c r="M14" i="8"/>
  <c r="O14" i="8"/>
  <c r="AC14" i="8" s="1"/>
  <c r="AG14" i="8" s="1"/>
  <c r="M15" i="8"/>
  <c r="O15" i="8"/>
  <c r="AC15" i="8" s="1"/>
  <c r="AG15" i="8" s="1"/>
  <c r="M16" i="8"/>
  <c r="O16" i="8"/>
  <c r="AC16" i="8" s="1"/>
  <c r="AG16" i="8" s="1"/>
  <c r="M17" i="8"/>
  <c r="AC17" i="8"/>
  <c r="AG17" i="8" s="1"/>
  <c r="M18" i="8"/>
  <c r="AC18" i="8"/>
  <c r="AG18" i="8"/>
  <c r="M19" i="8"/>
  <c r="O19" i="8"/>
  <c r="AC19" i="8" s="1"/>
  <c r="AG19" i="8" s="1"/>
  <c r="M20" i="8"/>
  <c r="O20" i="8"/>
  <c r="AC20" i="8" s="1"/>
  <c r="AG20" i="8" s="1"/>
  <c r="M21" i="8"/>
  <c r="O21" i="8"/>
  <c r="Q21" i="8"/>
  <c r="AC21" i="8"/>
  <c r="AG21" i="8" s="1"/>
  <c r="M22" i="8"/>
  <c r="AC22" i="8"/>
  <c r="AG22" i="8"/>
  <c r="M23" i="8"/>
  <c r="AC23" i="8"/>
  <c r="AG23" i="8" s="1"/>
  <c r="M24" i="8"/>
  <c r="O24" i="8"/>
  <c r="AC24" i="8"/>
  <c r="AG24" i="8" s="1"/>
  <c r="M25" i="8"/>
  <c r="AG25" i="8" s="1"/>
  <c r="AC25" i="8"/>
  <c r="M26" i="8"/>
  <c r="O26" i="8"/>
  <c r="AC26" i="8" s="1"/>
  <c r="AG26" i="8" s="1"/>
  <c r="M27" i="8"/>
  <c r="AC27" i="8"/>
  <c r="AG27" i="8" s="1"/>
  <c r="M28" i="8"/>
  <c r="AC28" i="8"/>
  <c r="AG28" i="8"/>
  <c r="M29" i="8"/>
  <c r="O29" i="8"/>
  <c r="Y29" i="8"/>
  <c r="AC29" i="8"/>
  <c r="AG29" i="8" s="1"/>
  <c r="M30" i="8"/>
  <c r="Y30" i="8"/>
  <c r="AC30" i="8"/>
  <c r="AG30" i="8" s="1"/>
  <c r="M31" i="8"/>
  <c r="AC31" i="8"/>
  <c r="AG31" i="8"/>
  <c r="M32" i="8"/>
  <c r="AC32" i="8"/>
  <c r="AG32" i="8" s="1"/>
  <c r="M33" i="8"/>
  <c r="O33" i="8"/>
  <c r="AC33" i="8"/>
  <c r="AG33" i="8" s="1"/>
  <c r="M34" i="8"/>
  <c r="AG34" i="8" s="1"/>
  <c r="AC34" i="8"/>
  <c r="M35" i="8"/>
  <c r="O35" i="8"/>
  <c r="AC35" i="8" s="1"/>
  <c r="AG35" i="8" s="1"/>
  <c r="M36" i="8"/>
  <c r="AC36" i="8"/>
  <c r="AG36" i="8" s="1"/>
  <c r="M37" i="8"/>
  <c r="AC37" i="8"/>
  <c r="AG37" i="8"/>
  <c r="M38" i="8"/>
  <c r="AC38" i="8"/>
  <c r="AG38" i="8" s="1"/>
  <c r="M39" i="8"/>
  <c r="AG39" i="8" s="1"/>
  <c r="AC39" i="8"/>
  <c r="M40" i="8"/>
  <c r="Q40" i="8"/>
  <c r="AC40" i="8" s="1"/>
  <c r="AG40" i="8" s="1"/>
  <c r="M41" i="8"/>
  <c r="AC41" i="8"/>
  <c r="AG41" i="8" s="1"/>
  <c r="M42" i="8"/>
  <c r="O42" i="8"/>
  <c r="AC42" i="8"/>
  <c r="AG42" i="8" s="1"/>
  <c r="M43" i="8"/>
  <c r="AC43" i="8"/>
  <c r="AG43" i="8"/>
  <c r="M44" i="8"/>
  <c r="O44" i="8"/>
  <c r="Y44" i="8"/>
  <c r="AC44" i="8"/>
  <c r="AG44" i="8" s="1"/>
  <c r="M45" i="8"/>
  <c r="AC45" i="8"/>
  <c r="AG45" i="8"/>
  <c r="M46" i="8"/>
  <c r="O46" i="8"/>
  <c r="AC46" i="8" s="1"/>
  <c r="AG46" i="8" s="1"/>
  <c r="M47" i="8"/>
  <c r="O47" i="8"/>
  <c r="AC47" i="8" s="1"/>
  <c r="AG47" i="8" s="1"/>
  <c r="M48" i="8"/>
  <c r="AC48" i="8"/>
  <c r="AG48" i="8" s="1"/>
  <c r="M49" i="8"/>
  <c r="AG49" i="8" s="1"/>
  <c r="AC49" i="8"/>
  <c r="M50" i="8"/>
  <c r="O50" i="8"/>
  <c r="AC50" i="8" s="1"/>
  <c r="AG50" i="8" s="1"/>
  <c r="M51" i="8"/>
  <c r="O51" i="8"/>
  <c r="AC51" i="8" s="1"/>
  <c r="AG51" i="8" s="1"/>
  <c r="M52" i="8"/>
  <c r="AC52" i="8"/>
  <c r="AG52" i="8" s="1"/>
  <c r="M53" i="8"/>
  <c r="AC53" i="8"/>
  <c r="AG53" i="8"/>
  <c r="M54" i="8"/>
  <c r="AC54" i="8"/>
  <c r="AG54" i="8" s="1"/>
  <c r="M55" i="8"/>
  <c r="AG55" i="8" s="1"/>
  <c r="AC55" i="8"/>
  <c r="M56" i="8"/>
  <c r="AC56" i="8"/>
  <c r="AG56" i="8" s="1"/>
  <c r="M57" i="8"/>
  <c r="AC57" i="8"/>
  <c r="AG57" i="8"/>
  <c r="M58" i="8"/>
  <c r="AC58" i="8"/>
  <c r="AG58" i="8" s="1"/>
  <c r="M59" i="8"/>
  <c r="O59" i="8"/>
  <c r="AC59" i="8"/>
  <c r="AG59" i="8" s="1"/>
  <c r="M60" i="8"/>
  <c r="AG60" i="8" s="1"/>
  <c r="AC60" i="8"/>
  <c r="M61" i="8"/>
  <c r="O61" i="8"/>
  <c r="AC61" i="8" s="1"/>
  <c r="AG61" i="8" s="1"/>
  <c r="M62" i="8"/>
  <c r="AC62" i="8"/>
  <c r="AG62" i="8" s="1"/>
  <c r="M63" i="8"/>
  <c r="AC63" i="8"/>
  <c r="AG63" i="8"/>
  <c r="M64" i="8"/>
  <c r="O64" i="8"/>
  <c r="AC64" i="8" s="1"/>
  <c r="AG64" i="8" s="1"/>
  <c r="G14" i="9"/>
  <c r="AE14" i="9" s="1"/>
  <c r="I14" i="9"/>
  <c r="M14" i="9"/>
  <c r="W14" i="9"/>
  <c r="AC14" i="9"/>
  <c r="AH14" i="9"/>
  <c r="AI14" i="9"/>
  <c r="AJ14" i="9" s="1"/>
  <c r="AK14" i="9"/>
  <c r="AL14" i="9" s="1"/>
  <c r="AN14" i="9"/>
  <c r="AO14" i="9"/>
  <c r="AP14" i="9"/>
  <c r="AQ14" i="9"/>
  <c r="AR14" i="9"/>
  <c r="G15" i="9"/>
  <c r="AE15" i="9" s="1"/>
  <c r="I15" i="9"/>
  <c r="M15" i="9"/>
  <c r="W15" i="9"/>
  <c r="AC15" i="9"/>
  <c r="AH15" i="9"/>
  <c r="AI15" i="9"/>
  <c r="AJ15" i="9" s="1"/>
  <c r="AK15" i="9"/>
  <c r="AL15" i="9" s="1"/>
  <c r="AN15" i="9"/>
  <c r="AO15" i="9"/>
  <c r="AP15" i="9"/>
  <c r="AQ15" i="9"/>
  <c r="AR15" i="9"/>
  <c r="G16" i="9"/>
  <c r="AE16" i="9" s="1"/>
  <c r="I16" i="9"/>
  <c r="M16" i="9"/>
  <c r="W16" i="9"/>
  <c r="AC16" i="9"/>
  <c r="AH16" i="9"/>
  <c r="AI16" i="9"/>
  <c r="AJ16" i="9" s="1"/>
  <c r="AK16" i="9"/>
  <c r="AL16" i="9" s="1"/>
  <c r="AN16" i="9"/>
  <c r="AO16" i="9"/>
  <c r="AP16" i="9"/>
  <c r="AQ16" i="9"/>
  <c r="AR16" i="9"/>
  <c r="G17" i="9"/>
  <c r="M17" i="9"/>
  <c r="W17" i="9"/>
  <c r="AC17" i="9"/>
  <c r="AE17" i="9"/>
  <c r="AH17" i="9"/>
  <c r="AI17" i="9"/>
  <c r="AJ17" i="9" s="1"/>
  <c r="AK17" i="9"/>
  <c r="AL17" i="9" s="1"/>
  <c r="AN17" i="9"/>
  <c r="AO17" i="9"/>
  <c r="AP17" i="9"/>
  <c r="AQ17" i="9"/>
  <c r="AR17" i="9"/>
  <c r="I18" i="9"/>
  <c r="G18" i="9" s="1"/>
  <c r="AE18" i="9" s="1"/>
  <c r="M18" i="9"/>
  <c r="W18" i="9"/>
  <c r="AC18" i="9"/>
  <c r="AH18" i="9"/>
  <c r="AI18" i="9"/>
  <c r="AJ18" i="9" s="1"/>
  <c r="AK18" i="9"/>
  <c r="AL18" i="9" s="1"/>
  <c r="AN18" i="9"/>
  <c r="AO18" i="9"/>
  <c r="AP18" i="9"/>
  <c r="AQ18" i="9"/>
  <c r="AR18" i="9"/>
  <c r="G19" i="9"/>
  <c r="M19" i="9"/>
  <c r="AE19" i="9" s="1"/>
  <c r="W19" i="9"/>
  <c r="AC19" i="9"/>
  <c r="AH19" i="9"/>
  <c r="AI19" i="9"/>
  <c r="AK19" i="9"/>
  <c r="AL19" i="9" s="1"/>
  <c r="AN19" i="9"/>
  <c r="AO19" i="9"/>
  <c r="AP19" i="9"/>
  <c r="AQ19" i="9"/>
  <c r="AR19" i="9"/>
  <c r="I20" i="9"/>
  <c r="G20" i="9" s="1"/>
  <c r="AE20" i="9" s="1"/>
  <c r="M20" i="9"/>
  <c r="W20" i="9"/>
  <c r="AC20" i="9"/>
  <c r="AH20" i="9"/>
  <c r="AI20" i="9"/>
  <c r="AK20" i="9"/>
  <c r="AL20" i="9" s="1"/>
  <c r="AN20" i="9"/>
  <c r="AO20" i="9"/>
  <c r="AP20" i="9"/>
  <c r="AQ20" i="9"/>
  <c r="AR20" i="9"/>
  <c r="I21" i="9"/>
  <c r="G21" i="9" s="1"/>
  <c r="AE21" i="9" s="1"/>
  <c r="M21" i="9"/>
  <c r="W21" i="9"/>
  <c r="AC21" i="9"/>
  <c r="AH21" i="9"/>
  <c r="AI21" i="9"/>
  <c r="AK21" i="9"/>
  <c r="AL21" i="9" s="1"/>
  <c r="AN21" i="9"/>
  <c r="AO21" i="9"/>
  <c r="AP21" i="9"/>
  <c r="AQ21" i="9"/>
  <c r="AR21" i="9"/>
  <c r="G22" i="9"/>
  <c r="M22" i="9"/>
  <c r="AE22" i="9" s="1"/>
  <c r="W22" i="9"/>
  <c r="AC22" i="9"/>
  <c r="AH22" i="9"/>
  <c r="AI22" i="9"/>
  <c r="AK22" i="9"/>
  <c r="AL22" i="9" s="1"/>
  <c r="AN22" i="9"/>
  <c r="AO22" i="9"/>
  <c r="AP22" i="9"/>
  <c r="AQ22" i="9"/>
  <c r="AR22" i="9"/>
  <c r="G23" i="9"/>
  <c r="M23" i="9"/>
  <c r="W23" i="9"/>
  <c r="AE23" i="9" s="1"/>
  <c r="AC23" i="9"/>
  <c r="AH23" i="9"/>
  <c r="AI23" i="9"/>
  <c r="AJ23" i="9" s="1"/>
  <c r="AK23" i="9"/>
  <c r="AL23" i="9" s="1"/>
  <c r="AN23" i="9"/>
  <c r="AO23" i="9"/>
  <c r="AP23" i="9"/>
  <c r="AQ23" i="9"/>
  <c r="AR23" i="9"/>
  <c r="G24" i="9"/>
  <c r="AE24" i="9" s="1"/>
  <c r="I24" i="9"/>
  <c r="M24" i="9"/>
  <c r="W24" i="9"/>
  <c r="AC24" i="9"/>
  <c r="AH24" i="9"/>
  <c r="AI24" i="9"/>
  <c r="AJ24" i="9" s="1"/>
  <c r="AK24" i="9"/>
  <c r="AL24" i="9" s="1"/>
  <c r="AN24" i="9"/>
  <c r="AO24" i="9"/>
  <c r="AP24" i="9"/>
  <c r="AQ24" i="9"/>
  <c r="AR24" i="9"/>
  <c r="G25" i="9"/>
  <c r="M25" i="9"/>
  <c r="W25" i="9"/>
  <c r="AC25" i="9"/>
  <c r="AE25" i="9"/>
  <c r="AH25" i="9"/>
  <c r="AI25" i="9"/>
  <c r="AJ25" i="9" s="1"/>
  <c r="AK25" i="9"/>
  <c r="AL25" i="9" s="1"/>
  <c r="AN25" i="9"/>
  <c r="AO25" i="9"/>
  <c r="AP25" i="9"/>
  <c r="AQ25" i="9"/>
  <c r="AR25" i="9"/>
  <c r="G26" i="9"/>
  <c r="M26" i="9"/>
  <c r="Q26" i="9"/>
  <c r="W26" i="9"/>
  <c r="AC26" i="9"/>
  <c r="AE26" i="9"/>
  <c r="AH26" i="9"/>
  <c r="AI26" i="9"/>
  <c r="AJ26" i="9" s="1"/>
  <c r="AK26" i="9"/>
  <c r="AL26" i="9" s="1"/>
  <c r="AN26" i="9"/>
  <c r="AO26" i="9"/>
  <c r="AP26" i="9"/>
  <c r="AQ26" i="9"/>
  <c r="AR26" i="9"/>
  <c r="I27" i="9"/>
  <c r="G27" i="9" s="1"/>
  <c r="AE27" i="9" s="1"/>
  <c r="O27" i="9"/>
  <c r="Q27" i="9"/>
  <c r="M27" i="9" s="1"/>
  <c r="W27" i="9"/>
  <c r="AC27" i="9"/>
  <c r="AH27" i="9"/>
  <c r="AI27" i="9"/>
  <c r="AK27" i="9"/>
  <c r="AL27" i="9" s="1"/>
  <c r="AN27" i="9"/>
  <c r="AO27" i="9"/>
  <c r="AP27" i="9"/>
  <c r="AQ27" i="9"/>
  <c r="AR27" i="9"/>
  <c r="G28" i="9"/>
  <c r="AE28" i="9" s="1"/>
  <c r="Q28" i="9"/>
  <c r="M28" i="9" s="1"/>
  <c r="W28" i="9"/>
  <c r="AC28" i="9"/>
  <c r="AH28" i="9"/>
  <c r="AI28" i="9"/>
  <c r="AK28" i="9"/>
  <c r="AL28" i="9" s="1"/>
  <c r="AN28" i="9"/>
  <c r="AO28" i="9"/>
  <c r="AP28" i="9"/>
  <c r="AQ28" i="9"/>
  <c r="AR28" i="9"/>
  <c r="G29" i="9"/>
  <c r="I29" i="9"/>
  <c r="Q29" i="9"/>
  <c r="M29" i="9" s="1"/>
  <c r="AE29" i="9" s="1"/>
  <c r="W29" i="9"/>
  <c r="AC29" i="9"/>
  <c r="AH29" i="9"/>
  <c r="AI29" i="9"/>
  <c r="AK29" i="9"/>
  <c r="AL29" i="9" s="1"/>
  <c r="AN29" i="9"/>
  <c r="AO29" i="9"/>
  <c r="AP29" i="9"/>
  <c r="AQ29" i="9"/>
  <c r="AR29" i="9"/>
  <c r="I30" i="9"/>
  <c r="G30" i="9" s="1"/>
  <c r="AE30" i="9" s="1"/>
  <c r="M30" i="9"/>
  <c r="Q30" i="9"/>
  <c r="W30" i="9"/>
  <c r="AC30" i="9"/>
  <c r="AH30" i="9"/>
  <c r="AI30" i="9"/>
  <c r="AJ30" i="9" s="1"/>
  <c r="AK30" i="9"/>
  <c r="AL30" i="9" s="1"/>
  <c r="AN30" i="9"/>
  <c r="AO30" i="9"/>
  <c r="AP30" i="9"/>
  <c r="AQ30" i="9"/>
  <c r="AR30" i="9"/>
  <c r="G31" i="9"/>
  <c r="M31" i="9"/>
  <c r="AE31" i="9" s="1"/>
  <c r="Q31" i="9"/>
  <c r="W31" i="9"/>
  <c r="AC31" i="9"/>
  <c r="AH31" i="9"/>
  <c r="AI31" i="9"/>
  <c r="AJ31" i="9" s="1"/>
  <c r="AK31" i="9"/>
  <c r="AL31" i="9" s="1"/>
  <c r="AN31" i="9"/>
  <c r="AO31" i="9"/>
  <c r="AP31" i="9"/>
  <c r="AQ31" i="9"/>
  <c r="AR31" i="9"/>
  <c r="G32" i="9"/>
  <c r="AE32" i="9" s="1"/>
  <c r="M32" i="9"/>
  <c r="W32" i="9"/>
  <c r="AC32" i="9"/>
  <c r="AH32" i="9"/>
  <c r="AI32" i="9"/>
  <c r="AK32" i="9"/>
  <c r="AL32" i="9" s="1"/>
  <c r="AN32" i="9"/>
  <c r="AO32" i="9"/>
  <c r="AP32" i="9"/>
  <c r="AQ32" i="9"/>
  <c r="AR32" i="9"/>
  <c r="I33" i="9"/>
  <c r="G33" i="9" s="1"/>
  <c r="AE33" i="9" s="1"/>
  <c r="M33" i="9"/>
  <c r="Q33" i="9"/>
  <c r="W33" i="9"/>
  <c r="AC33" i="9"/>
  <c r="AH33" i="9"/>
  <c r="AI33" i="9"/>
  <c r="AJ33" i="9" s="1"/>
  <c r="AK33" i="9"/>
  <c r="AL33" i="9" s="1"/>
  <c r="AN33" i="9"/>
  <c r="AO33" i="9"/>
  <c r="AP33" i="9"/>
  <c r="AQ33" i="9"/>
  <c r="AR33" i="9"/>
  <c r="I34" i="9"/>
  <c r="G34" i="9" s="1"/>
  <c r="AE34" i="9" s="1"/>
  <c r="M34" i="9"/>
  <c r="Q34" i="9"/>
  <c r="W34" i="9"/>
  <c r="AC34" i="9"/>
  <c r="AH34" i="9"/>
  <c r="AI34" i="9"/>
  <c r="AJ34" i="9"/>
  <c r="AK34" i="9"/>
  <c r="AL34" i="9" s="1"/>
  <c r="AN34" i="9"/>
  <c r="AO34" i="9"/>
  <c r="AP34" i="9"/>
  <c r="AQ34" i="9"/>
  <c r="AR34" i="9"/>
  <c r="G35" i="9"/>
  <c r="I35" i="9"/>
  <c r="Q35" i="9"/>
  <c r="M35" i="9" s="1"/>
  <c r="W35" i="9"/>
  <c r="AC35" i="9"/>
  <c r="AH35" i="9"/>
  <c r="AI35" i="9"/>
  <c r="AK35" i="9"/>
  <c r="AL35" i="9" s="1"/>
  <c r="AN35" i="9"/>
  <c r="AO35" i="9"/>
  <c r="AP35" i="9"/>
  <c r="AQ35" i="9"/>
  <c r="AR35" i="9"/>
  <c r="G36" i="9"/>
  <c r="M36" i="9"/>
  <c r="W36" i="9"/>
  <c r="AE36" i="9" s="1"/>
  <c r="AC36" i="9"/>
  <c r="AH36" i="9"/>
  <c r="AI36" i="9"/>
  <c r="AJ36" i="9" s="1"/>
  <c r="AK36" i="9"/>
  <c r="AL36" i="9" s="1"/>
  <c r="AN36" i="9"/>
  <c r="AO36" i="9"/>
  <c r="AP36" i="9"/>
  <c r="AQ36" i="9"/>
  <c r="AR36" i="9"/>
  <c r="G37" i="9"/>
  <c r="I37" i="9"/>
  <c r="Q37" i="9"/>
  <c r="M37" i="9" s="1"/>
  <c r="W37" i="9"/>
  <c r="AC37" i="9"/>
  <c r="AH37" i="9"/>
  <c r="AI37" i="9"/>
  <c r="AK37" i="9"/>
  <c r="AL37" i="9" s="1"/>
  <c r="AN37" i="9"/>
  <c r="AO37" i="9"/>
  <c r="AP37" i="9"/>
  <c r="AQ37" i="9"/>
  <c r="AR37" i="9"/>
  <c r="G38" i="9"/>
  <c r="I38" i="9"/>
  <c r="Q38" i="9"/>
  <c r="M38" i="9" s="1"/>
  <c r="AE38" i="9" s="1"/>
  <c r="W38" i="9"/>
  <c r="AC38" i="9"/>
  <c r="AH38" i="9"/>
  <c r="AI38" i="9"/>
  <c r="AK38" i="9"/>
  <c r="AL38" i="9" s="1"/>
  <c r="AN38" i="9"/>
  <c r="AO38" i="9"/>
  <c r="AP38" i="9"/>
  <c r="AQ38" i="9"/>
  <c r="AR38" i="9"/>
  <c r="I39" i="9"/>
  <c r="G39" i="9" s="1"/>
  <c r="AE39" i="9" s="1"/>
  <c r="M39" i="9"/>
  <c r="Q39" i="9"/>
  <c r="W39" i="9"/>
  <c r="AC39" i="9"/>
  <c r="AH39" i="9"/>
  <c r="AI39" i="9"/>
  <c r="AJ39" i="9" s="1"/>
  <c r="AK39" i="9"/>
  <c r="AL39" i="9" s="1"/>
  <c r="AN39" i="9"/>
  <c r="AO39" i="9"/>
  <c r="AP39" i="9"/>
  <c r="AQ39" i="9"/>
  <c r="AR39" i="9"/>
  <c r="I40" i="9"/>
  <c r="G40" i="9" s="1"/>
  <c r="AE40" i="9" s="1"/>
  <c r="M40" i="9"/>
  <c r="Q40" i="9"/>
  <c r="W40" i="9"/>
  <c r="AC40" i="9"/>
  <c r="AH40" i="9"/>
  <c r="AI40" i="9"/>
  <c r="AJ40" i="9" s="1"/>
  <c r="AK40" i="9"/>
  <c r="AL40" i="9" s="1"/>
  <c r="AN40" i="9"/>
  <c r="AO40" i="9"/>
  <c r="AP40" i="9"/>
  <c r="AQ40" i="9"/>
  <c r="AR40" i="9"/>
  <c r="G41" i="9"/>
  <c r="I41" i="9"/>
  <c r="Q41" i="9"/>
  <c r="M41" i="9" s="1"/>
  <c r="W41" i="9"/>
  <c r="AC41" i="9"/>
  <c r="AH41" i="9"/>
  <c r="AI41" i="9"/>
  <c r="AK41" i="9"/>
  <c r="AL41" i="9" s="1"/>
  <c r="AN41" i="9"/>
  <c r="AO41" i="9"/>
  <c r="AP41" i="9"/>
  <c r="AQ41" i="9"/>
  <c r="AR41" i="9"/>
  <c r="G42" i="9"/>
  <c r="I42" i="9"/>
  <c r="Q42" i="9"/>
  <c r="M42" i="9" s="1"/>
  <c r="AE42" i="9" s="1"/>
  <c r="W42" i="9"/>
  <c r="AC42" i="9"/>
  <c r="AH42" i="9"/>
  <c r="AI42" i="9"/>
  <c r="AK42" i="9"/>
  <c r="AL42" i="9" s="1"/>
  <c r="AN42" i="9"/>
  <c r="AO42" i="9"/>
  <c r="AP42" i="9"/>
  <c r="AQ42" i="9"/>
  <c r="AR42" i="9"/>
  <c r="I43" i="9"/>
  <c r="G43" i="9" s="1"/>
  <c r="AE43" i="9" s="1"/>
  <c r="M43" i="9"/>
  <c r="Q43" i="9"/>
  <c r="W43" i="9"/>
  <c r="AC43" i="9"/>
  <c r="AH43" i="9"/>
  <c r="AI43" i="9"/>
  <c r="AJ43" i="9" s="1"/>
  <c r="AK43" i="9"/>
  <c r="AL43" i="9" s="1"/>
  <c r="AN43" i="9"/>
  <c r="AO43" i="9"/>
  <c r="AP43" i="9"/>
  <c r="AQ43" i="9"/>
  <c r="AR43" i="9"/>
  <c r="G44" i="9"/>
  <c r="M44" i="9"/>
  <c r="AE44" i="9" s="1"/>
  <c r="Q44" i="9"/>
  <c r="W44" i="9"/>
  <c r="AC44" i="9"/>
  <c r="AH44" i="9"/>
  <c r="AI44" i="9"/>
  <c r="AJ44" i="9" s="1"/>
  <c r="AK44" i="9"/>
  <c r="AL44" i="9" s="1"/>
  <c r="AN44" i="9"/>
  <c r="AO44" i="9"/>
  <c r="AP44" i="9"/>
  <c r="AQ44" i="9"/>
  <c r="AR44" i="9"/>
  <c r="I45" i="9"/>
  <c r="G45" i="9" s="1"/>
  <c r="AE45" i="9" s="1"/>
  <c r="M45" i="9"/>
  <c r="Q45" i="9"/>
  <c r="W45" i="9"/>
  <c r="AC45" i="9"/>
  <c r="AH45" i="9"/>
  <c r="AI45" i="9"/>
  <c r="AJ45" i="9" s="1"/>
  <c r="AK45" i="9"/>
  <c r="AL45" i="9" s="1"/>
  <c r="AN45" i="9"/>
  <c r="AO45" i="9"/>
  <c r="AP45" i="9"/>
  <c r="AQ45" i="9"/>
  <c r="AR45" i="9"/>
  <c r="G46" i="9"/>
  <c r="AE46" i="9" s="1"/>
  <c r="I46" i="9"/>
  <c r="Q46" i="9"/>
  <c r="M46" i="9" s="1"/>
  <c r="W46" i="9"/>
  <c r="AC46" i="9"/>
  <c r="AH46" i="9"/>
  <c r="AI46" i="9"/>
  <c r="AK46" i="9"/>
  <c r="AL46" i="9" s="1"/>
  <c r="AN46" i="9"/>
  <c r="AO46" i="9"/>
  <c r="AP46" i="9"/>
  <c r="AQ46" i="9"/>
  <c r="AR46" i="9"/>
  <c r="G47" i="9"/>
  <c r="Q47" i="9"/>
  <c r="M47" i="9" s="1"/>
  <c r="W47" i="9"/>
  <c r="AC47" i="9"/>
  <c r="AH47" i="9"/>
  <c r="AI47" i="9"/>
  <c r="AK47" i="9"/>
  <c r="AL47" i="9" s="1"/>
  <c r="AN47" i="9"/>
  <c r="AO47" i="9"/>
  <c r="AP47" i="9"/>
  <c r="AQ47" i="9"/>
  <c r="AR47" i="9"/>
  <c r="G48" i="9"/>
  <c r="I48" i="9"/>
  <c r="Q48" i="9"/>
  <c r="M48" i="9" s="1"/>
  <c r="AE48" i="9" s="1"/>
  <c r="W48" i="9"/>
  <c r="AC48" i="9"/>
  <c r="AH48" i="9"/>
  <c r="AI48" i="9"/>
  <c r="AK48" i="9"/>
  <c r="AL48" i="9" s="1"/>
  <c r="AN48" i="9"/>
  <c r="AO48" i="9"/>
  <c r="AP48" i="9"/>
  <c r="AQ48" i="9"/>
  <c r="AR48" i="9"/>
  <c r="I49" i="9"/>
  <c r="G49" i="9" s="1"/>
  <c r="AE49" i="9" s="1"/>
  <c r="M49" i="9"/>
  <c r="Q49" i="9"/>
  <c r="W49" i="9"/>
  <c r="AC49" i="9"/>
  <c r="AH49" i="9"/>
  <c r="AI49" i="9"/>
  <c r="AJ49" i="9" s="1"/>
  <c r="AK49" i="9"/>
  <c r="AL49" i="9" s="1"/>
  <c r="AN49" i="9"/>
  <c r="AO49" i="9"/>
  <c r="AP49" i="9"/>
  <c r="AQ49" i="9"/>
  <c r="AR49" i="9"/>
  <c r="I50" i="9"/>
  <c r="G50" i="9" s="1"/>
  <c r="AE50" i="9" s="1"/>
  <c r="M50" i="9"/>
  <c r="W50" i="9"/>
  <c r="AC50" i="9"/>
  <c r="AH50" i="9"/>
  <c r="AI50" i="9"/>
  <c r="AJ50" i="9" s="1"/>
  <c r="AK50" i="9"/>
  <c r="AL50" i="9" s="1"/>
  <c r="AN50" i="9"/>
  <c r="AO50" i="9"/>
  <c r="AP50" i="9"/>
  <c r="AQ50" i="9"/>
  <c r="AR50" i="9"/>
  <c r="I51" i="9"/>
  <c r="G51" i="9" s="1"/>
  <c r="AE51" i="9" s="1"/>
  <c r="M51" i="9"/>
  <c r="W51" i="9"/>
  <c r="AC51" i="9"/>
  <c r="AH51" i="9"/>
  <c r="AI51" i="9"/>
  <c r="AJ51" i="9" s="1"/>
  <c r="AK51" i="9"/>
  <c r="AL51" i="9" s="1"/>
  <c r="AN51" i="9"/>
  <c r="AO51" i="9"/>
  <c r="AP51" i="9"/>
  <c r="AQ51" i="9"/>
  <c r="AR51" i="9"/>
  <c r="I52" i="9"/>
  <c r="G52" i="9" s="1"/>
  <c r="AE52" i="9" s="1"/>
  <c r="M52" i="9"/>
  <c r="W52" i="9"/>
  <c r="AC52" i="9"/>
  <c r="AH52" i="9"/>
  <c r="AI52" i="9"/>
  <c r="AJ52" i="9" s="1"/>
  <c r="AK52" i="9"/>
  <c r="AL52" i="9" s="1"/>
  <c r="AN52" i="9"/>
  <c r="AO52" i="9"/>
  <c r="AP52" i="9"/>
  <c r="AQ52" i="9"/>
  <c r="AR52" i="9"/>
  <c r="I53" i="9"/>
  <c r="G53" i="9" s="1"/>
  <c r="AE53" i="9" s="1"/>
  <c r="M53" i="9"/>
  <c r="W53" i="9"/>
  <c r="AC53" i="9"/>
  <c r="AH53" i="9"/>
  <c r="AI53" i="9"/>
  <c r="AJ53" i="9" s="1"/>
  <c r="AK53" i="9"/>
  <c r="AL53" i="9" s="1"/>
  <c r="AN53" i="9"/>
  <c r="AO53" i="9"/>
  <c r="AP53" i="9"/>
  <c r="AQ53" i="9"/>
  <c r="AR53" i="9"/>
  <c r="I54" i="9"/>
  <c r="G54" i="9" s="1"/>
  <c r="AE54" i="9" s="1"/>
  <c r="M54" i="9"/>
  <c r="W54" i="9"/>
  <c r="AC54" i="9"/>
  <c r="AH54" i="9"/>
  <c r="AI54" i="9"/>
  <c r="AJ54" i="9" s="1"/>
  <c r="AK54" i="9"/>
  <c r="AL54" i="9" s="1"/>
  <c r="AN54" i="9"/>
  <c r="AO54" i="9"/>
  <c r="AP54" i="9"/>
  <c r="AQ54" i="9"/>
  <c r="AR54" i="9"/>
  <c r="I55" i="9"/>
  <c r="G55" i="9" s="1"/>
  <c r="AE55" i="9" s="1"/>
  <c r="M55" i="9"/>
  <c r="W55" i="9"/>
  <c r="AC55" i="9"/>
  <c r="AH55" i="9"/>
  <c r="AI55" i="9"/>
  <c r="AJ55" i="9" s="1"/>
  <c r="AK55" i="9"/>
  <c r="AL55" i="9" s="1"/>
  <c r="AN55" i="9"/>
  <c r="AO55" i="9"/>
  <c r="AP55" i="9"/>
  <c r="AQ55" i="9"/>
  <c r="AR55" i="9"/>
  <c r="I56" i="9"/>
  <c r="G56" i="9" s="1"/>
  <c r="AE56" i="9" s="1"/>
  <c r="M56" i="9"/>
  <c r="W56" i="9"/>
  <c r="AC56" i="9"/>
  <c r="AH56" i="9"/>
  <c r="AI56" i="9"/>
  <c r="AJ56" i="9" s="1"/>
  <c r="AK56" i="9"/>
  <c r="AL56" i="9" s="1"/>
  <c r="AN56" i="9"/>
  <c r="AO56" i="9"/>
  <c r="AP56" i="9"/>
  <c r="AQ56" i="9"/>
  <c r="AR56" i="9"/>
  <c r="I57" i="9"/>
  <c r="G57" i="9" s="1"/>
  <c r="AE57" i="9" s="1"/>
  <c r="M57" i="9"/>
  <c r="W57" i="9"/>
  <c r="AC57" i="9"/>
  <c r="AH57" i="9"/>
  <c r="AI57" i="9"/>
  <c r="AJ57" i="9" s="1"/>
  <c r="AK57" i="9"/>
  <c r="AL57" i="9" s="1"/>
  <c r="AN57" i="9"/>
  <c r="AO57" i="9"/>
  <c r="AP57" i="9"/>
  <c r="AQ57" i="9"/>
  <c r="AR57" i="9"/>
  <c r="I58" i="9"/>
  <c r="G58" i="9" s="1"/>
  <c r="AE58" i="9" s="1"/>
  <c r="M58" i="9"/>
  <c r="W58" i="9"/>
  <c r="AC58" i="9"/>
  <c r="AH58" i="9"/>
  <c r="AI58" i="9"/>
  <c r="AJ58" i="9" s="1"/>
  <c r="AK58" i="9"/>
  <c r="AL58" i="9" s="1"/>
  <c r="AN58" i="9"/>
  <c r="AO58" i="9"/>
  <c r="AP58" i="9"/>
  <c r="AQ58" i="9"/>
  <c r="AR58" i="9"/>
  <c r="I59" i="9"/>
  <c r="G59" i="9" s="1"/>
  <c r="AE59" i="9" s="1"/>
  <c r="M59" i="9"/>
  <c r="W59" i="9"/>
  <c r="AC59" i="9"/>
  <c r="AH59" i="9"/>
  <c r="AI59" i="9"/>
  <c r="AJ59" i="9"/>
  <c r="AK59" i="9"/>
  <c r="AL59" i="9" s="1"/>
  <c r="AN59" i="9"/>
  <c r="AO59" i="9"/>
  <c r="AP59" i="9"/>
  <c r="AQ59" i="9"/>
  <c r="AR59" i="9"/>
  <c r="I60" i="9"/>
  <c r="G60" i="9" s="1"/>
  <c r="AE60" i="9" s="1"/>
  <c r="M60" i="9"/>
  <c r="W60" i="9"/>
  <c r="AC60" i="9"/>
  <c r="AH60" i="9"/>
  <c r="AI60" i="9"/>
  <c r="AJ60" i="9" s="1"/>
  <c r="AK60" i="9"/>
  <c r="AL60" i="9" s="1"/>
  <c r="AN60" i="9"/>
  <c r="AO60" i="9"/>
  <c r="AP60" i="9"/>
  <c r="AQ60" i="9"/>
  <c r="AR60" i="9"/>
  <c r="G61" i="9"/>
  <c r="M61" i="9"/>
  <c r="AE61" i="9" s="1"/>
  <c r="W61" i="9"/>
  <c r="AC61" i="9"/>
  <c r="AH61" i="9"/>
  <c r="AI61" i="9"/>
  <c r="AK61" i="9"/>
  <c r="AL61" i="9" s="1"/>
  <c r="AN61" i="9"/>
  <c r="AO61" i="9"/>
  <c r="AP61" i="9"/>
  <c r="AQ61" i="9"/>
  <c r="AR61" i="9"/>
  <c r="I62" i="9"/>
  <c r="G62" i="9" s="1"/>
  <c r="AE62" i="9" s="1"/>
  <c r="M62" i="9"/>
  <c r="W62" i="9"/>
  <c r="AC62" i="9"/>
  <c r="AH62" i="9"/>
  <c r="AI62" i="9"/>
  <c r="AK62" i="9"/>
  <c r="AL62" i="9" s="1"/>
  <c r="AN62" i="9"/>
  <c r="AO62" i="9"/>
  <c r="AP62" i="9"/>
  <c r="AQ62" i="9"/>
  <c r="AR62" i="9"/>
  <c r="I63" i="9"/>
  <c r="G63" i="9" s="1"/>
  <c r="AE63" i="9" s="1"/>
  <c r="M63" i="9"/>
  <c r="W63" i="9"/>
  <c r="AC63" i="9"/>
  <c r="AH63" i="9"/>
  <c r="AI63" i="9"/>
  <c r="AK63" i="9"/>
  <c r="AL63" i="9" s="1"/>
  <c r="AN63" i="9"/>
  <c r="AO63" i="9"/>
  <c r="AP63" i="9"/>
  <c r="AQ63" i="9"/>
  <c r="AR63" i="9"/>
  <c r="I64" i="9"/>
  <c r="G64" i="9" s="1"/>
  <c r="AE64" i="9" s="1"/>
  <c r="M64" i="9"/>
  <c r="W64" i="9"/>
  <c r="AC64" i="9"/>
  <c r="AH64" i="9"/>
  <c r="AI64" i="9"/>
  <c r="AK64" i="9"/>
  <c r="AL64" i="9" s="1"/>
  <c r="AN64" i="9"/>
  <c r="AO64" i="9"/>
  <c r="AP64" i="9"/>
  <c r="AQ64" i="9"/>
  <c r="AR64" i="9"/>
  <c r="BZ62" i="11" l="1"/>
  <c r="CB62" i="11" s="1"/>
  <c r="BQ63" i="4"/>
  <c r="BW63" i="4" s="1"/>
  <c r="BY63" i="4" s="1"/>
  <c r="BQ19" i="4"/>
  <c r="BW19" i="4" s="1"/>
  <c r="BY19" i="4" s="1"/>
  <c r="BQ14" i="4"/>
  <c r="BW14" i="4" s="1"/>
  <c r="BY14" i="4" s="1"/>
  <c r="AW32" i="5"/>
  <c r="BQ32" i="4" s="1"/>
  <c r="BW32" i="4" s="1"/>
  <c r="BY32" i="4" s="1"/>
  <c r="AW59" i="5"/>
  <c r="BE46" i="5"/>
  <c r="BQ61" i="4"/>
  <c r="BW61" i="4" s="1"/>
  <c r="BY61" i="4" s="1"/>
  <c r="BQ45" i="4"/>
  <c r="BW45" i="4" s="1"/>
  <c r="BY45" i="4" s="1"/>
  <c r="BQ29" i="4"/>
  <c r="BW29" i="4" s="1"/>
  <c r="BY29" i="4" s="1"/>
  <c r="BQ21" i="4"/>
  <c r="BW21" i="4" s="1"/>
  <c r="BY21" i="4" s="1"/>
  <c r="AW64" i="5"/>
  <c r="BQ64" i="4" s="1"/>
  <c r="BW64" i="4" s="1"/>
  <c r="BY64" i="4" s="1"/>
  <c r="AW46" i="5"/>
  <c r="BQ46" i="4" s="1"/>
  <c r="BW46" i="4" s="1"/>
  <c r="BY46" i="4" s="1"/>
  <c r="W44" i="5"/>
  <c r="AW44" i="5" s="1"/>
  <c r="BQ44" i="4" s="1"/>
  <c r="BW44" i="4" s="1"/>
  <c r="BY44" i="4" s="1"/>
  <c r="AW43" i="5"/>
  <c r="W25" i="5"/>
  <c r="AW17" i="5"/>
  <c r="BQ17" i="4" s="1"/>
  <c r="BW17" i="4" s="1"/>
  <c r="BY17" i="4" s="1"/>
  <c r="BE62" i="5"/>
  <c r="BE60" i="5"/>
  <c r="AW58" i="5"/>
  <c r="BQ58" i="4" s="1"/>
  <c r="BW58" i="4" s="1"/>
  <c r="BY58" i="4" s="1"/>
  <c r="BE53" i="5"/>
  <c r="AW51" i="5"/>
  <c r="BQ51" i="4" s="1"/>
  <c r="BW51" i="4" s="1"/>
  <c r="BY51" i="4" s="1"/>
  <c r="AW48" i="5"/>
  <c r="BQ48" i="4" s="1"/>
  <c r="BW48" i="4" s="1"/>
  <c r="BY48" i="4" s="1"/>
  <c r="AW42" i="5"/>
  <c r="BQ42" i="4" s="1"/>
  <c r="BW42" i="4" s="1"/>
  <c r="BY42" i="4" s="1"/>
  <c r="AW39" i="5"/>
  <c r="BQ39" i="4" s="1"/>
  <c r="BW39" i="4" s="1"/>
  <c r="BY39" i="4" s="1"/>
  <c r="AW35" i="5"/>
  <c r="BQ35" i="4" s="1"/>
  <c r="BW35" i="4" s="1"/>
  <c r="BY35" i="4" s="1"/>
  <c r="BE30" i="5"/>
  <c r="AW27" i="5"/>
  <c r="BE26" i="5"/>
  <c r="BE23" i="5"/>
  <c r="W23" i="5"/>
  <c r="BE21" i="5"/>
  <c r="BE18" i="5"/>
  <c r="AW16" i="5"/>
  <c r="BQ16" i="4" s="1"/>
  <c r="BW16" i="4" s="1"/>
  <c r="BY16" i="4" s="1"/>
  <c r="BQ57" i="4"/>
  <c r="BW57" i="4" s="1"/>
  <c r="BY57" i="4" s="1"/>
  <c r="BQ49" i="4"/>
  <c r="BW49" i="4" s="1"/>
  <c r="BY49" i="4" s="1"/>
  <c r="BQ41" i="4"/>
  <c r="BW41" i="4" s="1"/>
  <c r="BY41" i="4" s="1"/>
  <c r="BQ33" i="4"/>
  <c r="BW33" i="4" s="1"/>
  <c r="BY33" i="4" s="1"/>
  <c r="BQ15" i="4"/>
  <c r="BW15" i="4" s="1"/>
  <c r="BY15" i="4" s="1"/>
  <c r="BE64" i="5"/>
  <c r="AW62" i="5"/>
  <c r="BQ62" i="4" s="1"/>
  <c r="BW62" i="4" s="1"/>
  <c r="BY62" i="4" s="1"/>
  <c r="BE61" i="5"/>
  <c r="AW60" i="5"/>
  <c r="BQ60" i="4" s="1"/>
  <c r="BW60" i="4" s="1"/>
  <c r="BY60" i="4" s="1"/>
  <c r="BE59" i="5"/>
  <c r="AW53" i="5"/>
  <c r="BQ53" i="4" s="1"/>
  <c r="BW53" i="4" s="1"/>
  <c r="BY53" i="4" s="1"/>
  <c r="BE52" i="5"/>
  <c r="BE49" i="5"/>
  <c r="AW47" i="5"/>
  <c r="BQ47" i="4" s="1"/>
  <c r="BW47" i="4" s="1"/>
  <c r="BY47" i="4" s="1"/>
  <c r="BE43" i="5"/>
  <c r="BE40" i="5"/>
  <c r="AW38" i="5"/>
  <c r="BQ38" i="4" s="1"/>
  <c r="BW38" i="4" s="1"/>
  <c r="BY38" i="4" s="1"/>
  <c r="BE33" i="5"/>
  <c r="BE32" i="5"/>
  <c r="AW30" i="5"/>
  <c r="BQ30" i="4" s="1"/>
  <c r="BW30" i="4" s="1"/>
  <c r="BY30" i="4" s="1"/>
  <c r="BE29" i="5"/>
  <c r="AW23" i="5"/>
  <c r="BQ23" i="4" s="1"/>
  <c r="BW23" i="4" s="1"/>
  <c r="BY23" i="4" s="1"/>
  <c r="BE20" i="5"/>
  <c r="AW18" i="5"/>
  <c r="BQ18" i="4" s="1"/>
  <c r="BW18" i="4" s="1"/>
  <c r="BY18" i="4" s="1"/>
  <c r="BE17" i="5"/>
  <c r="BE14" i="5"/>
  <c r="BQ59" i="4"/>
  <c r="BW59" i="4" s="1"/>
  <c r="BY59" i="4" s="1"/>
  <c r="BQ43" i="4"/>
  <c r="BW43" i="4" s="1"/>
  <c r="BY43" i="4" s="1"/>
  <c r="BQ27" i="4"/>
  <c r="BW27" i="4" s="1"/>
  <c r="BY27" i="4" s="1"/>
  <c r="AM39" i="6"/>
  <c r="BQ36" i="7"/>
  <c r="BQ22" i="7"/>
  <c r="BQ15" i="7"/>
  <c r="BQ58" i="7"/>
  <c r="BQ55" i="7"/>
  <c r="BQ53" i="7"/>
  <c r="BQ49" i="7"/>
  <c r="BQ45" i="7"/>
  <c r="BQ41" i="7"/>
  <c r="BQ37" i="7"/>
  <c r="BQ33" i="7"/>
  <c r="BQ19" i="7"/>
  <c r="BQ14" i="7"/>
  <c r="AM64" i="6"/>
  <c r="BQ54" i="7"/>
  <c r="BQ44" i="7"/>
  <c r="BQ29" i="7"/>
  <c r="BQ26" i="7"/>
  <c r="BQ59" i="7"/>
  <c r="BQ27" i="7"/>
  <c r="AM19" i="6"/>
  <c r="AM50" i="6"/>
  <c r="AM31" i="6"/>
  <c r="AM28" i="6"/>
  <c r="AM27" i="6"/>
  <c r="AM54" i="6"/>
  <c r="AV61" i="2"/>
  <c r="AV59" i="2"/>
  <c r="AV56" i="2"/>
  <c r="AV47" i="2"/>
  <c r="AV38" i="2"/>
  <c r="AV31" i="2"/>
  <c r="AV26" i="2"/>
  <c r="AV15" i="2"/>
  <c r="AV44" i="2"/>
  <c r="AV64" i="2"/>
  <c r="AV49" i="2"/>
  <c r="AV46" i="2"/>
  <c r="AV17" i="2"/>
  <c r="AM55" i="1"/>
  <c r="AM37" i="1"/>
  <c r="AM31" i="1"/>
  <c r="AM27" i="1"/>
  <c r="AM23" i="1"/>
  <c r="AM22" i="1"/>
  <c r="AM19" i="1"/>
  <c r="AM48" i="1"/>
  <c r="AM44" i="1"/>
  <c r="AM40" i="1"/>
  <c r="AM52" i="1"/>
  <c r="AM41" i="1"/>
  <c r="AM63" i="1"/>
  <c r="AM58" i="1"/>
  <c r="AM43" i="1"/>
  <c r="AM28" i="1"/>
  <c r="AM18" i="1"/>
  <c r="AM17" i="1"/>
  <c r="AM57" i="1"/>
  <c r="AM49" i="1"/>
  <c r="AM61" i="1"/>
  <c r="AM54" i="1"/>
  <c r="AM53" i="1"/>
  <c r="AM46" i="1"/>
  <c r="AM36" i="1"/>
  <c r="AM33" i="1"/>
  <c r="AM30" i="1"/>
  <c r="AM25" i="1"/>
  <c r="AM21" i="1"/>
  <c r="AM14" i="1"/>
  <c r="AW25" i="5"/>
  <c r="BQ25" i="4" s="1"/>
  <c r="BW25" i="4" s="1"/>
  <c r="BY25" i="4" s="1"/>
  <c r="AM15" i="6"/>
  <c r="AM59" i="6"/>
  <c r="AM35" i="6"/>
  <c r="AM21" i="6"/>
  <c r="AM61" i="6"/>
  <c r="AM57" i="6"/>
  <c r="AM56" i="6"/>
  <c r="AM52" i="6"/>
  <c r="AM42" i="6"/>
  <c r="AM37" i="6"/>
  <c r="AM29" i="6"/>
  <c r="AM25" i="6"/>
  <c r="AM60" i="6"/>
  <c r="AM48" i="6"/>
  <c r="AM45" i="6"/>
  <c r="AM41" i="6"/>
  <c r="AM33" i="6"/>
  <c r="AM23" i="6"/>
  <c r="AM22" i="6"/>
  <c r="AG47" i="1"/>
  <c r="AG57" i="6"/>
  <c r="AG23" i="6"/>
  <c r="AJ47" i="9"/>
  <c r="AJ35" i="9"/>
  <c r="AJ27" i="9"/>
  <c r="AJ63" i="9"/>
  <c r="AJ22" i="9"/>
  <c r="AJ61" i="9"/>
  <c r="AJ48" i="9"/>
  <c r="AJ32" i="9"/>
  <c r="AJ20" i="9"/>
  <c r="AJ62" i="9"/>
  <c r="AJ41" i="9"/>
  <c r="AJ37" i="9"/>
  <c r="AJ28" i="9"/>
  <c r="AJ21" i="9"/>
  <c r="AJ64" i="9"/>
  <c r="AJ46" i="9"/>
  <c r="AJ42" i="9"/>
  <c r="AJ38" i="9"/>
  <c r="AJ29" i="9"/>
  <c r="AJ19" i="9"/>
  <c r="AE35" i="9"/>
  <c r="AE47" i="9"/>
  <c r="AE41" i="9"/>
  <c r="AE37" i="9"/>
  <c r="AU109" i="5" l="1"/>
  <c r="M76" i="2" l="1"/>
  <c r="M76" i="5"/>
  <c r="U130" i="2" l="1"/>
  <c r="U129" i="2"/>
  <c r="U130" i="5"/>
  <c r="U129" i="5"/>
  <c r="I130" i="9"/>
  <c r="I129" i="9"/>
  <c r="AU125" i="11" l="1"/>
  <c r="M125" i="2"/>
  <c r="I125" i="2"/>
  <c r="AT125" i="4"/>
  <c r="M125" i="5"/>
  <c r="I125" i="5"/>
  <c r="AA125" i="1"/>
  <c r="U125" i="1"/>
  <c r="Q125" i="1"/>
  <c r="AA125" i="6"/>
  <c r="U125" i="6"/>
  <c r="Q125" i="6"/>
  <c r="M124" i="2"/>
  <c r="I124" i="2"/>
  <c r="M124" i="5"/>
  <c r="I124" i="5"/>
  <c r="AA124" i="1"/>
  <c r="W124" i="1"/>
  <c r="Q124" i="1"/>
  <c r="AA124" i="6"/>
  <c r="Q124" i="6"/>
  <c r="W124" i="9"/>
  <c r="I124" i="9"/>
  <c r="U79" i="2" l="1"/>
  <c r="W79" i="2" s="1"/>
  <c r="U78" i="2"/>
  <c r="I78" i="2"/>
  <c r="W77" i="2"/>
  <c r="W76" i="2"/>
  <c r="U75" i="2"/>
  <c r="W75" i="2" s="1"/>
  <c r="AA78" i="1"/>
  <c r="U78" i="1"/>
  <c r="Q78" i="1"/>
  <c r="AA75" i="1"/>
  <c r="W75" i="1"/>
  <c r="G78" i="1"/>
  <c r="U79" i="5"/>
  <c r="U78" i="5"/>
  <c r="U75" i="5"/>
  <c r="AA78" i="6"/>
  <c r="U78" i="6"/>
  <c r="Q78" i="6"/>
  <c r="AA75" i="6"/>
  <c r="W75" i="6"/>
  <c r="G78" i="6"/>
  <c r="I79" i="9"/>
  <c r="I74" i="9"/>
  <c r="W78" i="2" l="1"/>
  <c r="M123" i="2" l="1"/>
  <c r="M123" i="5"/>
  <c r="I123" i="9"/>
  <c r="M122" i="2"/>
  <c r="U122" i="2"/>
  <c r="I122" i="2"/>
  <c r="M122" i="5"/>
  <c r="U122" i="5"/>
  <c r="I122" i="5"/>
  <c r="AA122" i="1"/>
  <c r="W122" i="1"/>
  <c r="AA122" i="6"/>
  <c r="M121" i="2" l="1"/>
  <c r="M121" i="5"/>
  <c r="K121" i="6"/>
  <c r="I121" i="9"/>
  <c r="M120" i="2" l="1"/>
  <c r="M120" i="5"/>
  <c r="I119" i="2" l="1"/>
  <c r="I119" i="5"/>
  <c r="AA119" i="1"/>
  <c r="U119" i="1"/>
  <c r="AA119" i="6"/>
  <c r="U119" i="6"/>
  <c r="W119" i="9"/>
  <c r="M117" i="2" l="1"/>
  <c r="AA117" i="1"/>
  <c r="W117" i="1"/>
  <c r="M117" i="5"/>
  <c r="AA117" i="6"/>
  <c r="Q117" i="9"/>
  <c r="I116" i="2"/>
  <c r="M116" i="2"/>
  <c r="AA116" i="1"/>
  <c r="W116" i="1"/>
  <c r="I116" i="5"/>
  <c r="M116" i="5"/>
  <c r="AA116" i="6"/>
  <c r="Q116" i="9"/>
  <c r="M114" i="2"/>
  <c r="M114" i="5"/>
  <c r="Q114" i="9"/>
  <c r="M113" i="2" l="1"/>
  <c r="M113" i="5"/>
  <c r="I113" i="9"/>
  <c r="Q113" i="9"/>
  <c r="M112" i="2"/>
  <c r="M112" i="5"/>
  <c r="Y112" i="8"/>
  <c r="I112" i="9"/>
  <c r="Q112" i="9"/>
  <c r="Q73" i="9"/>
  <c r="M111" i="2" l="1"/>
  <c r="M111" i="5"/>
  <c r="I111" i="9"/>
  <c r="Q111" i="9"/>
  <c r="M110" i="2"/>
  <c r="M110" i="5"/>
  <c r="Y110" i="8"/>
  <c r="I110" i="9"/>
  <c r="Q110" i="9"/>
  <c r="I109" i="2"/>
  <c r="M109" i="2"/>
  <c r="AA109" i="1"/>
  <c r="U109" i="1"/>
  <c r="Q109" i="1"/>
  <c r="I109" i="5"/>
  <c r="M109" i="5"/>
  <c r="AA109" i="6"/>
  <c r="Q109" i="6"/>
  <c r="Q109" i="9"/>
  <c r="I108" i="2"/>
  <c r="M108" i="2"/>
  <c r="AA108" i="1"/>
  <c r="W108" i="1"/>
  <c r="I108" i="5"/>
  <c r="M108" i="5"/>
  <c r="AA108" i="6"/>
  <c r="Q108" i="9"/>
  <c r="M107" i="2"/>
  <c r="U107" i="1"/>
  <c r="M107" i="5"/>
  <c r="U107" i="6"/>
  <c r="Q107" i="9"/>
  <c r="M106" i="2"/>
  <c r="M106" i="5"/>
  <c r="I106" i="9"/>
  <c r="Q106" i="9"/>
  <c r="M104" i="2"/>
  <c r="M104" i="5"/>
  <c r="I104" i="9"/>
  <c r="Q104" i="9"/>
  <c r="M102" i="2"/>
  <c r="M102" i="5"/>
  <c r="Q102" i="9"/>
  <c r="I101" i="2"/>
  <c r="M101" i="2"/>
  <c r="AA101" i="1"/>
  <c r="W101" i="1"/>
  <c r="U101" i="1"/>
  <c r="I101" i="5"/>
  <c r="M101" i="5"/>
  <c r="AA101" i="6"/>
  <c r="U101" i="6"/>
  <c r="Q101" i="9"/>
  <c r="I99" i="2"/>
  <c r="M99" i="2"/>
  <c r="AA99" i="1"/>
  <c r="Y99" i="1"/>
  <c r="W99" i="1"/>
  <c r="M99" i="5"/>
  <c r="Y99" i="6"/>
  <c r="Q99" i="9"/>
  <c r="AQ98" i="11"/>
  <c r="M98" i="2"/>
  <c r="AP98" i="4"/>
  <c r="M98" i="5"/>
  <c r="I98" i="9"/>
  <c r="Q98" i="9"/>
  <c r="M97" i="2"/>
  <c r="M97" i="5"/>
  <c r="Q97" i="9"/>
  <c r="M96" i="2"/>
  <c r="M96" i="5"/>
  <c r="Q96" i="9"/>
  <c r="M95" i="2" l="1"/>
  <c r="M95" i="5"/>
  <c r="Q95" i="9"/>
  <c r="M94" i="2"/>
  <c r="M94" i="5"/>
  <c r="Q94" i="9"/>
  <c r="M93" i="2"/>
  <c r="M93" i="5"/>
  <c r="Q93" i="9"/>
  <c r="I92" i="2"/>
  <c r="M92" i="2"/>
  <c r="AA92" i="1"/>
  <c r="U92" i="1"/>
  <c r="I92" i="5"/>
  <c r="M92" i="5"/>
  <c r="AA92" i="6"/>
  <c r="U92" i="6"/>
  <c r="Q92" i="9"/>
  <c r="U74" i="2" l="1"/>
  <c r="U71" i="2"/>
  <c r="U74" i="5"/>
  <c r="U71" i="5"/>
  <c r="O71" i="7"/>
  <c r="I71" i="9"/>
  <c r="M90" i="2" l="1"/>
  <c r="M90" i="5"/>
  <c r="Q90" i="9"/>
  <c r="M89" i="2" l="1"/>
  <c r="M89" i="5"/>
  <c r="I89" i="9"/>
  <c r="Q89" i="9"/>
  <c r="Q88" i="9"/>
  <c r="Q87" i="9"/>
  <c r="U86" i="2"/>
  <c r="U86" i="5"/>
  <c r="M86" i="5"/>
  <c r="Q86" i="9"/>
  <c r="U85" i="2" l="1"/>
  <c r="U85" i="5"/>
  <c r="Y85" i="8"/>
  <c r="Q85" i="9"/>
  <c r="U83" i="2" l="1"/>
  <c r="I83" i="2"/>
  <c r="AA83" i="1"/>
  <c r="W83" i="1"/>
  <c r="U83" i="1"/>
  <c r="Q83" i="1"/>
  <c r="U83" i="5"/>
  <c r="I83" i="5"/>
  <c r="AA83" i="6"/>
  <c r="U83" i="6"/>
  <c r="Q83" i="6"/>
  <c r="I83" i="9"/>
  <c r="Q83" i="9"/>
  <c r="M83" i="10"/>
  <c r="BE82" i="11" l="1"/>
  <c r="BR82" i="11" s="1"/>
  <c r="AT82" i="2"/>
  <c r="I82" i="2"/>
  <c r="W82" i="2" s="1"/>
  <c r="AE82" i="1"/>
  <c r="O82" i="1"/>
  <c r="K82" i="1"/>
  <c r="BB82" i="4"/>
  <c r="BO82" i="4" s="1"/>
  <c r="AU82" i="5"/>
  <c r="W82" i="5"/>
  <c r="AE82" i="6"/>
  <c r="O82" i="6"/>
  <c r="K82" i="6"/>
  <c r="BC82" i="7"/>
  <c r="AC82" i="8"/>
  <c r="M82" i="8"/>
  <c r="AC82" i="9"/>
  <c r="W82" i="9"/>
  <c r="G82" i="9"/>
  <c r="Q82" i="9"/>
  <c r="M82" i="9" s="1"/>
  <c r="W82" i="10"/>
  <c r="S82" i="10"/>
  <c r="AE82" i="9" l="1"/>
  <c r="AG82" i="1"/>
  <c r="AG82" i="8"/>
  <c r="AW82" i="5"/>
  <c r="BQ82" i="4" s="1"/>
  <c r="AG82" i="6"/>
  <c r="BE82" i="7"/>
  <c r="BI82" i="7" s="1"/>
  <c r="BK82" i="7" s="1"/>
  <c r="AV82" i="2"/>
  <c r="BT82" i="11" s="1"/>
  <c r="BZ82" i="11" s="1"/>
  <c r="CB82" i="11" s="1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4" i="10"/>
  <c r="AH85" i="10"/>
  <c r="AH83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4" i="10"/>
  <c r="AG85" i="10"/>
  <c r="AG83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CP69" i="11"/>
  <c r="CP70" i="11"/>
  <c r="CP71" i="11"/>
  <c r="CP72" i="11"/>
  <c r="CP73" i="11"/>
  <c r="CP74" i="11"/>
  <c r="CP75" i="11"/>
  <c r="CP76" i="11"/>
  <c r="CP77" i="11"/>
  <c r="CP78" i="11"/>
  <c r="CP79" i="11"/>
  <c r="CP80" i="11"/>
  <c r="CP81" i="11"/>
  <c r="CP82" i="11"/>
  <c r="CP84" i="11"/>
  <c r="CP85" i="11"/>
  <c r="CP83" i="11"/>
  <c r="CP86" i="11"/>
  <c r="CP87" i="11"/>
  <c r="CP88" i="11"/>
  <c r="CP89" i="11"/>
  <c r="CP90" i="11"/>
  <c r="CP91" i="11"/>
  <c r="CP92" i="11"/>
  <c r="CP93" i="11"/>
  <c r="CP94" i="11"/>
  <c r="CP95" i="11"/>
  <c r="CP96" i="11"/>
  <c r="CP97" i="11"/>
  <c r="CP98" i="11"/>
  <c r="CP99" i="11"/>
  <c r="CP100" i="11"/>
  <c r="CP101" i="11"/>
  <c r="CP102" i="11"/>
  <c r="CP103" i="11"/>
  <c r="CP104" i="11"/>
  <c r="CP105" i="11"/>
  <c r="CP106" i="11"/>
  <c r="CP107" i="11"/>
  <c r="CP108" i="11"/>
  <c r="CP109" i="11"/>
  <c r="CP110" i="11"/>
  <c r="CP111" i="11"/>
  <c r="CP112" i="11"/>
  <c r="CP113" i="11"/>
  <c r="CP114" i="11"/>
  <c r="CP115" i="11"/>
  <c r="CP116" i="11"/>
  <c r="CP117" i="11"/>
  <c r="CP118" i="11"/>
  <c r="CP119" i="11"/>
  <c r="CP120" i="11"/>
  <c r="CP121" i="11"/>
  <c r="CP122" i="11"/>
  <c r="CP123" i="11"/>
  <c r="CP124" i="11"/>
  <c r="CP125" i="11"/>
  <c r="CP126" i="11"/>
  <c r="CP127" i="11"/>
  <c r="CP128" i="11"/>
  <c r="CP129" i="11"/>
  <c r="CP130" i="11"/>
  <c r="CL69" i="11"/>
  <c r="CM69" i="11"/>
  <c r="CN69" i="11"/>
  <c r="CL70" i="11"/>
  <c r="CM70" i="11"/>
  <c r="CN70" i="11"/>
  <c r="CL71" i="11"/>
  <c r="CM71" i="11"/>
  <c r="CN71" i="11"/>
  <c r="CL72" i="11"/>
  <c r="CM72" i="11"/>
  <c r="CN72" i="11"/>
  <c r="CL73" i="11"/>
  <c r="CM73" i="11"/>
  <c r="CN73" i="11"/>
  <c r="CL74" i="11"/>
  <c r="CM74" i="11"/>
  <c r="CN74" i="11"/>
  <c r="CL75" i="11"/>
  <c r="CM75" i="11"/>
  <c r="CN75" i="11"/>
  <c r="CL76" i="11"/>
  <c r="CM76" i="11"/>
  <c r="CN76" i="11"/>
  <c r="CL77" i="11"/>
  <c r="CM77" i="11"/>
  <c r="CN77" i="11"/>
  <c r="CL78" i="11"/>
  <c r="CM78" i="11"/>
  <c r="CN78" i="11"/>
  <c r="CL79" i="11"/>
  <c r="CM79" i="11"/>
  <c r="CN79" i="11"/>
  <c r="CL80" i="11"/>
  <c r="CM80" i="11"/>
  <c r="CN80" i="11"/>
  <c r="CL81" i="11"/>
  <c r="CM81" i="11"/>
  <c r="CN81" i="11"/>
  <c r="CL82" i="11"/>
  <c r="CM82" i="11"/>
  <c r="CN82" i="11"/>
  <c r="CL84" i="11"/>
  <c r="CM84" i="11"/>
  <c r="CN84" i="11"/>
  <c r="CL85" i="11"/>
  <c r="CM85" i="11"/>
  <c r="CN85" i="11"/>
  <c r="CL83" i="11"/>
  <c r="CM83" i="11"/>
  <c r="CN83" i="11"/>
  <c r="CL86" i="11"/>
  <c r="CM86" i="11"/>
  <c r="CN86" i="11"/>
  <c r="CL87" i="11"/>
  <c r="CM87" i="11"/>
  <c r="CN87" i="11"/>
  <c r="CL88" i="11"/>
  <c r="CM88" i="11"/>
  <c r="CN88" i="11"/>
  <c r="CL89" i="11"/>
  <c r="CM89" i="11"/>
  <c r="CN89" i="11"/>
  <c r="CL90" i="11"/>
  <c r="CM90" i="11"/>
  <c r="CN90" i="11"/>
  <c r="CL91" i="11"/>
  <c r="CM91" i="11"/>
  <c r="CN91" i="11"/>
  <c r="CL92" i="11"/>
  <c r="CM92" i="11"/>
  <c r="CN92" i="11"/>
  <c r="CL93" i="11"/>
  <c r="CM93" i="11"/>
  <c r="CN93" i="11"/>
  <c r="CL94" i="11"/>
  <c r="CM94" i="11"/>
  <c r="CN94" i="11"/>
  <c r="CL95" i="11"/>
  <c r="CM95" i="11"/>
  <c r="CN95" i="11"/>
  <c r="CL96" i="11"/>
  <c r="CM96" i="11"/>
  <c r="CN96" i="11"/>
  <c r="CL97" i="11"/>
  <c r="CM97" i="11"/>
  <c r="CN97" i="11"/>
  <c r="CL98" i="11"/>
  <c r="CM98" i="11"/>
  <c r="CN98" i="11"/>
  <c r="CL99" i="11"/>
  <c r="CM99" i="11"/>
  <c r="CN99" i="11"/>
  <c r="CL100" i="11"/>
  <c r="CM100" i="11"/>
  <c r="CN100" i="11"/>
  <c r="CL101" i="11"/>
  <c r="CM101" i="11"/>
  <c r="CN101" i="11"/>
  <c r="CL102" i="11"/>
  <c r="CM102" i="11"/>
  <c r="CN102" i="11"/>
  <c r="CL103" i="11"/>
  <c r="CM103" i="11"/>
  <c r="CN103" i="11"/>
  <c r="CL104" i="11"/>
  <c r="CM104" i="11"/>
  <c r="CN104" i="11"/>
  <c r="CL105" i="11"/>
  <c r="CM105" i="11"/>
  <c r="CN105" i="11"/>
  <c r="CL106" i="11"/>
  <c r="CM106" i="11"/>
  <c r="CN106" i="11"/>
  <c r="CL107" i="11"/>
  <c r="CM107" i="11"/>
  <c r="CN107" i="11"/>
  <c r="CL108" i="11"/>
  <c r="CM108" i="11"/>
  <c r="CN108" i="11"/>
  <c r="CL109" i="11"/>
  <c r="CM109" i="11"/>
  <c r="CN109" i="11"/>
  <c r="CL110" i="11"/>
  <c r="CM110" i="11"/>
  <c r="CN110" i="11"/>
  <c r="CL111" i="11"/>
  <c r="CM111" i="11"/>
  <c r="CN111" i="11"/>
  <c r="CL112" i="11"/>
  <c r="CM112" i="11"/>
  <c r="CN112" i="11"/>
  <c r="CL113" i="11"/>
  <c r="CM113" i="11"/>
  <c r="CN113" i="11"/>
  <c r="CL114" i="11"/>
  <c r="CM114" i="11"/>
  <c r="CN114" i="11"/>
  <c r="CL115" i="11"/>
  <c r="CM115" i="11"/>
  <c r="CN115" i="11"/>
  <c r="CL116" i="11"/>
  <c r="CM116" i="11"/>
  <c r="CN116" i="11"/>
  <c r="CL117" i="11"/>
  <c r="CM117" i="11"/>
  <c r="CN117" i="11"/>
  <c r="CL118" i="11"/>
  <c r="CM118" i="11"/>
  <c r="CN118" i="11"/>
  <c r="CL119" i="11"/>
  <c r="CM119" i="11"/>
  <c r="CN119" i="11"/>
  <c r="CL120" i="11"/>
  <c r="CM120" i="11"/>
  <c r="CN120" i="11"/>
  <c r="CL121" i="11"/>
  <c r="CM121" i="11"/>
  <c r="CN121" i="11"/>
  <c r="CL122" i="11"/>
  <c r="CM122" i="11"/>
  <c r="CN122" i="11"/>
  <c r="CL123" i="11"/>
  <c r="CM123" i="11"/>
  <c r="CN123" i="11"/>
  <c r="CL124" i="11"/>
  <c r="CM124" i="11"/>
  <c r="CN124" i="11"/>
  <c r="CL125" i="11"/>
  <c r="CM125" i="11"/>
  <c r="CN125" i="11"/>
  <c r="CL126" i="11"/>
  <c r="CM126" i="11"/>
  <c r="CN126" i="11"/>
  <c r="CL127" i="11"/>
  <c r="CM127" i="11"/>
  <c r="CN127" i="11"/>
  <c r="CL128" i="11"/>
  <c r="CM128" i="11"/>
  <c r="CN128" i="11"/>
  <c r="CL129" i="11"/>
  <c r="CM129" i="11"/>
  <c r="CN129" i="11"/>
  <c r="CL130" i="11"/>
  <c r="CM130" i="11"/>
  <c r="CN130" i="11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4" i="2"/>
  <c r="BH85" i="2"/>
  <c r="BH83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E69" i="2"/>
  <c r="BF69" i="2"/>
  <c r="BE70" i="2"/>
  <c r="BF70" i="2"/>
  <c r="BE71" i="2"/>
  <c r="BF71" i="2"/>
  <c r="BE72" i="2"/>
  <c r="BF72" i="2"/>
  <c r="BE73" i="2"/>
  <c r="BF73" i="2"/>
  <c r="BE74" i="2"/>
  <c r="BF74" i="2"/>
  <c r="BE75" i="2"/>
  <c r="BF75" i="2"/>
  <c r="BE76" i="2"/>
  <c r="BF76" i="2"/>
  <c r="BE77" i="2"/>
  <c r="BF77" i="2"/>
  <c r="BE78" i="2"/>
  <c r="BF78" i="2"/>
  <c r="BE79" i="2"/>
  <c r="BF79" i="2"/>
  <c r="BE80" i="2"/>
  <c r="BF80" i="2"/>
  <c r="BE81" i="2"/>
  <c r="BF81" i="2"/>
  <c r="BE82" i="2"/>
  <c r="BF82" i="2"/>
  <c r="BE84" i="2"/>
  <c r="BF84" i="2"/>
  <c r="BE85" i="2"/>
  <c r="BF85" i="2"/>
  <c r="BE83" i="2"/>
  <c r="BF83" i="2"/>
  <c r="BE86" i="2"/>
  <c r="BF86" i="2"/>
  <c r="BE87" i="2"/>
  <c r="BF87" i="2"/>
  <c r="BE88" i="2"/>
  <c r="BF88" i="2"/>
  <c r="BE89" i="2"/>
  <c r="BF89" i="2"/>
  <c r="BE90" i="2"/>
  <c r="BF90" i="2"/>
  <c r="BE91" i="2"/>
  <c r="BF91" i="2"/>
  <c r="BE92" i="2"/>
  <c r="BF92" i="2"/>
  <c r="BE93" i="2"/>
  <c r="BF93" i="2"/>
  <c r="BE94" i="2"/>
  <c r="BF94" i="2"/>
  <c r="BE95" i="2"/>
  <c r="BF95" i="2"/>
  <c r="BE96" i="2"/>
  <c r="BF96" i="2"/>
  <c r="BE97" i="2"/>
  <c r="BF97" i="2"/>
  <c r="BE98" i="2"/>
  <c r="BF98" i="2"/>
  <c r="BE99" i="2"/>
  <c r="BF99" i="2"/>
  <c r="BE100" i="2"/>
  <c r="BF100" i="2"/>
  <c r="BE101" i="2"/>
  <c r="BF101" i="2"/>
  <c r="BE102" i="2"/>
  <c r="BF102" i="2"/>
  <c r="BE103" i="2"/>
  <c r="BF103" i="2"/>
  <c r="BE104" i="2"/>
  <c r="BF104" i="2"/>
  <c r="BE105" i="2"/>
  <c r="BF105" i="2"/>
  <c r="BE106" i="2"/>
  <c r="BF106" i="2"/>
  <c r="BE107" i="2"/>
  <c r="BF107" i="2"/>
  <c r="BE108" i="2"/>
  <c r="BF108" i="2"/>
  <c r="BE109" i="2"/>
  <c r="BF109" i="2"/>
  <c r="BE110" i="2"/>
  <c r="BF110" i="2"/>
  <c r="BE111" i="2"/>
  <c r="BF111" i="2"/>
  <c r="BE112" i="2"/>
  <c r="BF112" i="2"/>
  <c r="BE113" i="2"/>
  <c r="BF113" i="2"/>
  <c r="BE114" i="2"/>
  <c r="BF114" i="2"/>
  <c r="BE115" i="2"/>
  <c r="BF115" i="2"/>
  <c r="BE116" i="2"/>
  <c r="BF116" i="2"/>
  <c r="BE117" i="2"/>
  <c r="BF117" i="2"/>
  <c r="BE118" i="2"/>
  <c r="BF118" i="2"/>
  <c r="BE119" i="2"/>
  <c r="BF119" i="2"/>
  <c r="BE120" i="2"/>
  <c r="BF120" i="2"/>
  <c r="BE121" i="2"/>
  <c r="BF121" i="2"/>
  <c r="BE122" i="2"/>
  <c r="BF122" i="2"/>
  <c r="BE123" i="2"/>
  <c r="BF123" i="2"/>
  <c r="BE124" i="2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81" i="1"/>
  <c r="AP81" i="1"/>
  <c r="AO82" i="1"/>
  <c r="AP82" i="1"/>
  <c r="AO84" i="1"/>
  <c r="AP84" i="1"/>
  <c r="AO85" i="1"/>
  <c r="AP85" i="1"/>
  <c r="AO83" i="1"/>
  <c r="AP83" i="1"/>
  <c r="AO86" i="1"/>
  <c r="AP86" i="1"/>
  <c r="AO87" i="1"/>
  <c r="AP87" i="1"/>
  <c r="AO88" i="1"/>
  <c r="AP88" i="1"/>
  <c r="AO89" i="1"/>
  <c r="AP89" i="1"/>
  <c r="AO90" i="1"/>
  <c r="AP90" i="1"/>
  <c r="AO91" i="1"/>
  <c r="AP91" i="1"/>
  <c r="AO92" i="1"/>
  <c r="AP92" i="1"/>
  <c r="AO93" i="1"/>
  <c r="AP93" i="1"/>
  <c r="AO94" i="1"/>
  <c r="AP94" i="1"/>
  <c r="AO95" i="1"/>
  <c r="AP95" i="1"/>
  <c r="AO96" i="1"/>
  <c r="AP96" i="1"/>
  <c r="AO97" i="1"/>
  <c r="AP97" i="1"/>
  <c r="AO98" i="1"/>
  <c r="AP98" i="1"/>
  <c r="AO99" i="1"/>
  <c r="AP99" i="1"/>
  <c r="AO100" i="1"/>
  <c r="AP100" i="1"/>
  <c r="AO101" i="1"/>
  <c r="AP101" i="1"/>
  <c r="AO102" i="1"/>
  <c r="AP102" i="1"/>
  <c r="AO103" i="1"/>
  <c r="AP103" i="1"/>
  <c r="AO104" i="1"/>
  <c r="AP104" i="1"/>
  <c r="AO105" i="1"/>
  <c r="AP105" i="1"/>
  <c r="AO106" i="1"/>
  <c r="AP106" i="1"/>
  <c r="AO107" i="1"/>
  <c r="AP107" i="1"/>
  <c r="AO108" i="1"/>
  <c r="AP108" i="1"/>
  <c r="AO109" i="1"/>
  <c r="AP109" i="1"/>
  <c r="AO110" i="1"/>
  <c r="AP110" i="1"/>
  <c r="AO111" i="1"/>
  <c r="AP111" i="1"/>
  <c r="AO112" i="1"/>
  <c r="AP112" i="1"/>
  <c r="AO113" i="1"/>
  <c r="AP113" i="1"/>
  <c r="AO114" i="1"/>
  <c r="AP114" i="1"/>
  <c r="AO115" i="1"/>
  <c r="AP115" i="1"/>
  <c r="AO116" i="1"/>
  <c r="AP116" i="1"/>
  <c r="AO117" i="1"/>
  <c r="AP117" i="1"/>
  <c r="AO118" i="1"/>
  <c r="AP118" i="1"/>
  <c r="AO119" i="1"/>
  <c r="AP119" i="1"/>
  <c r="AO120" i="1"/>
  <c r="AP120" i="1"/>
  <c r="AO121" i="1"/>
  <c r="AP121" i="1"/>
  <c r="AO122" i="1"/>
  <c r="AP122" i="1"/>
  <c r="AO123" i="1"/>
  <c r="AP123" i="1"/>
  <c r="AO124" i="1"/>
  <c r="AP124" i="1"/>
  <c r="AO125" i="1"/>
  <c r="AP125" i="1"/>
  <c r="AO126" i="1"/>
  <c r="AP126" i="1"/>
  <c r="AO127" i="1"/>
  <c r="AP127" i="1"/>
  <c r="AO128" i="1"/>
  <c r="AP128" i="1"/>
  <c r="AO129" i="1"/>
  <c r="AP129" i="1"/>
  <c r="AO130" i="1"/>
  <c r="AP130" i="1"/>
  <c r="CM69" i="4"/>
  <c r="CM70" i="4"/>
  <c r="CM71" i="4"/>
  <c r="CM72" i="4"/>
  <c r="CM73" i="4"/>
  <c r="CM74" i="4"/>
  <c r="CM75" i="4"/>
  <c r="CM76" i="4"/>
  <c r="CM77" i="4"/>
  <c r="CM78" i="4"/>
  <c r="CM79" i="4"/>
  <c r="CM80" i="4"/>
  <c r="CM81" i="4"/>
  <c r="CM82" i="4"/>
  <c r="CM84" i="4"/>
  <c r="CM85" i="4"/>
  <c r="CM83" i="4"/>
  <c r="CM86" i="4"/>
  <c r="CM87" i="4"/>
  <c r="CM88" i="4"/>
  <c r="CM89" i="4"/>
  <c r="CM90" i="4"/>
  <c r="CM91" i="4"/>
  <c r="CM92" i="4"/>
  <c r="CM93" i="4"/>
  <c r="CM94" i="4"/>
  <c r="CM95" i="4"/>
  <c r="CM96" i="4"/>
  <c r="CM97" i="4"/>
  <c r="CM98" i="4"/>
  <c r="CM99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13" i="4"/>
  <c r="CM114" i="4"/>
  <c r="CM115" i="4"/>
  <c r="CM116" i="4"/>
  <c r="CM117" i="4"/>
  <c r="CM118" i="4"/>
  <c r="CM119" i="4"/>
  <c r="CM120" i="4"/>
  <c r="CM121" i="4"/>
  <c r="CM122" i="4"/>
  <c r="CM123" i="4"/>
  <c r="CM124" i="4"/>
  <c r="CM125" i="4"/>
  <c r="CM126" i="4"/>
  <c r="CM127" i="4"/>
  <c r="CM128" i="4"/>
  <c r="CM129" i="4"/>
  <c r="CM130" i="4"/>
  <c r="CI69" i="4"/>
  <c r="CJ69" i="4"/>
  <c r="CK69" i="4"/>
  <c r="CI70" i="4"/>
  <c r="CJ70" i="4"/>
  <c r="CK70" i="4"/>
  <c r="CI71" i="4"/>
  <c r="CJ71" i="4"/>
  <c r="CK71" i="4"/>
  <c r="CI72" i="4"/>
  <c r="CJ72" i="4"/>
  <c r="CK72" i="4"/>
  <c r="CI73" i="4"/>
  <c r="CJ73" i="4"/>
  <c r="CK73" i="4"/>
  <c r="CI74" i="4"/>
  <c r="CJ74" i="4"/>
  <c r="CK74" i="4"/>
  <c r="CI75" i="4"/>
  <c r="CJ75" i="4"/>
  <c r="CK75" i="4"/>
  <c r="CI76" i="4"/>
  <c r="CJ76" i="4"/>
  <c r="CK76" i="4"/>
  <c r="CI77" i="4"/>
  <c r="CJ77" i="4"/>
  <c r="CK77" i="4"/>
  <c r="CI78" i="4"/>
  <c r="CJ78" i="4"/>
  <c r="CK78" i="4"/>
  <c r="CI79" i="4"/>
  <c r="CJ79" i="4"/>
  <c r="CK79" i="4"/>
  <c r="CI80" i="4"/>
  <c r="CJ80" i="4"/>
  <c r="CK80" i="4"/>
  <c r="CI81" i="4"/>
  <c r="CJ81" i="4"/>
  <c r="CK81" i="4"/>
  <c r="CI82" i="4"/>
  <c r="CJ82" i="4"/>
  <c r="CK82" i="4"/>
  <c r="CI84" i="4"/>
  <c r="CJ84" i="4"/>
  <c r="CK84" i="4"/>
  <c r="CI85" i="4"/>
  <c r="CJ85" i="4"/>
  <c r="CK85" i="4"/>
  <c r="CI83" i="4"/>
  <c r="CJ83" i="4"/>
  <c r="CK83" i="4"/>
  <c r="CI86" i="4"/>
  <c r="CJ86" i="4"/>
  <c r="CK86" i="4"/>
  <c r="CI87" i="4"/>
  <c r="CJ87" i="4"/>
  <c r="CK87" i="4"/>
  <c r="CI88" i="4"/>
  <c r="CJ88" i="4"/>
  <c r="CK88" i="4"/>
  <c r="CI89" i="4"/>
  <c r="CJ89" i="4"/>
  <c r="CK89" i="4"/>
  <c r="CI90" i="4"/>
  <c r="CJ90" i="4"/>
  <c r="CK90" i="4"/>
  <c r="CI91" i="4"/>
  <c r="CJ91" i="4"/>
  <c r="CK91" i="4"/>
  <c r="CI92" i="4"/>
  <c r="CJ92" i="4"/>
  <c r="CK92" i="4"/>
  <c r="CI93" i="4"/>
  <c r="CJ93" i="4"/>
  <c r="CK93" i="4"/>
  <c r="CI94" i="4"/>
  <c r="CJ94" i="4"/>
  <c r="CK94" i="4"/>
  <c r="CI95" i="4"/>
  <c r="CJ95" i="4"/>
  <c r="CK95" i="4"/>
  <c r="CI96" i="4"/>
  <c r="CJ96" i="4"/>
  <c r="CK96" i="4"/>
  <c r="CI97" i="4"/>
  <c r="CJ97" i="4"/>
  <c r="CK97" i="4"/>
  <c r="CI98" i="4"/>
  <c r="CJ98" i="4"/>
  <c r="CK98" i="4"/>
  <c r="CI99" i="4"/>
  <c r="CJ99" i="4"/>
  <c r="CK99" i="4"/>
  <c r="CI100" i="4"/>
  <c r="CJ100" i="4"/>
  <c r="CK100" i="4"/>
  <c r="CI101" i="4"/>
  <c r="CJ101" i="4"/>
  <c r="CK101" i="4"/>
  <c r="CI102" i="4"/>
  <c r="CJ102" i="4"/>
  <c r="CK102" i="4"/>
  <c r="CI103" i="4"/>
  <c r="CJ103" i="4"/>
  <c r="CK103" i="4"/>
  <c r="CI104" i="4"/>
  <c r="CJ104" i="4"/>
  <c r="CK104" i="4"/>
  <c r="CI105" i="4"/>
  <c r="CJ105" i="4"/>
  <c r="CK105" i="4"/>
  <c r="CI106" i="4"/>
  <c r="CJ106" i="4"/>
  <c r="CK106" i="4"/>
  <c r="CI107" i="4"/>
  <c r="CJ107" i="4"/>
  <c r="CK107" i="4"/>
  <c r="CI108" i="4"/>
  <c r="CJ108" i="4"/>
  <c r="CK108" i="4"/>
  <c r="CI109" i="4"/>
  <c r="CJ109" i="4"/>
  <c r="CK109" i="4"/>
  <c r="CI110" i="4"/>
  <c r="CJ110" i="4"/>
  <c r="CK110" i="4"/>
  <c r="CI111" i="4"/>
  <c r="CJ111" i="4"/>
  <c r="CK111" i="4"/>
  <c r="CI112" i="4"/>
  <c r="CJ112" i="4"/>
  <c r="CK112" i="4"/>
  <c r="CI113" i="4"/>
  <c r="CJ113" i="4"/>
  <c r="CK113" i="4"/>
  <c r="CI114" i="4"/>
  <c r="CJ114" i="4"/>
  <c r="CK114" i="4"/>
  <c r="CI115" i="4"/>
  <c r="CJ115" i="4"/>
  <c r="CK115" i="4"/>
  <c r="CI116" i="4"/>
  <c r="CJ116" i="4"/>
  <c r="CK116" i="4"/>
  <c r="CI117" i="4"/>
  <c r="CJ117" i="4"/>
  <c r="CK117" i="4"/>
  <c r="CI118" i="4"/>
  <c r="CJ118" i="4"/>
  <c r="CK118" i="4"/>
  <c r="CI119" i="4"/>
  <c r="CJ119" i="4"/>
  <c r="CK119" i="4"/>
  <c r="CI120" i="4"/>
  <c r="CJ120" i="4"/>
  <c r="CK120" i="4"/>
  <c r="CI121" i="4"/>
  <c r="CJ121" i="4"/>
  <c r="CK121" i="4"/>
  <c r="CI122" i="4"/>
  <c r="CJ122" i="4"/>
  <c r="CK122" i="4"/>
  <c r="CI123" i="4"/>
  <c r="CJ123" i="4"/>
  <c r="CK123" i="4"/>
  <c r="CI124" i="4"/>
  <c r="CJ124" i="4"/>
  <c r="CK124" i="4"/>
  <c r="CI125" i="4"/>
  <c r="CJ125" i="4"/>
  <c r="CK125" i="4"/>
  <c r="CI126" i="4"/>
  <c r="CJ126" i="4"/>
  <c r="CK126" i="4"/>
  <c r="CI127" i="4"/>
  <c r="CJ127" i="4"/>
  <c r="CK127" i="4"/>
  <c r="CI128" i="4"/>
  <c r="CJ128" i="4"/>
  <c r="CK128" i="4"/>
  <c r="CI129" i="4"/>
  <c r="CJ129" i="4"/>
  <c r="CK129" i="4"/>
  <c r="CI130" i="4"/>
  <c r="CJ130" i="4"/>
  <c r="CK130" i="4"/>
  <c r="BP69" i="7"/>
  <c r="BP70" i="7"/>
  <c r="BP71" i="7"/>
  <c r="BP72" i="7"/>
  <c r="BP73" i="7"/>
  <c r="BP74" i="7"/>
  <c r="BP75" i="7"/>
  <c r="BP76" i="7"/>
  <c r="BP77" i="7"/>
  <c r="BP78" i="7"/>
  <c r="BP79" i="7"/>
  <c r="BP80" i="7"/>
  <c r="BP81" i="7"/>
  <c r="BP82" i="7"/>
  <c r="BP84" i="7"/>
  <c r="BP85" i="7"/>
  <c r="BP83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5" i="7"/>
  <c r="BP106" i="7"/>
  <c r="BP107" i="7"/>
  <c r="BP108" i="7"/>
  <c r="BP109" i="7"/>
  <c r="BP110" i="7"/>
  <c r="BP111" i="7"/>
  <c r="BP112" i="7"/>
  <c r="BP113" i="7"/>
  <c r="BP114" i="7"/>
  <c r="BP115" i="7"/>
  <c r="BP116" i="7"/>
  <c r="BP117" i="7"/>
  <c r="BP118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4" i="5"/>
  <c r="BJ85" i="5"/>
  <c r="BJ83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3" i="5"/>
  <c r="BJ104" i="5"/>
  <c r="BJ105" i="5"/>
  <c r="BJ106" i="5"/>
  <c r="BJ107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3" i="5"/>
  <c r="BJ124" i="5"/>
  <c r="BJ125" i="5"/>
  <c r="BJ126" i="5"/>
  <c r="BJ127" i="5"/>
  <c r="BJ128" i="5"/>
  <c r="BJ129" i="5"/>
  <c r="BJ130" i="5"/>
  <c r="BG69" i="5"/>
  <c r="BH69" i="5"/>
  <c r="BG70" i="5"/>
  <c r="BH70" i="5"/>
  <c r="BG71" i="5"/>
  <c r="BH71" i="5"/>
  <c r="BG72" i="5"/>
  <c r="BH72" i="5"/>
  <c r="BG73" i="5"/>
  <c r="BH73" i="5"/>
  <c r="BG74" i="5"/>
  <c r="BH74" i="5"/>
  <c r="BG75" i="5"/>
  <c r="BH75" i="5"/>
  <c r="BG76" i="5"/>
  <c r="BH76" i="5"/>
  <c r="BG77" i="5"/>
  <c r="BH77" i="5"/>
  <c r="BG78" i="5"/>
  <c r="BH78" i="5"/>
  <c r="BG79" i="5"/>
  <c r="BH79" i="5"/>
  <c r="BG80" i="5"/>
  <c r="BH80" i="5"/>
  <c r="BG81" i="5"/>
  <c r="BH81" i="5"/>
  <c r="BG82" i="5"/>
  <c r="BH82" i="5"/>
  <c r="BG84" i="5"/>
  <c r="BH84" i="5"/>
  <c r="BG85" i="5"/>
  <c r="BH85" i="5"/>
  <c r="BG83" i="5"/>
  <c r="BH83" i="5"/>
  <c r="BG86" i="5"/>
  <c r="BH86" i="5"/>
  <c r="BG87" i="5"/>
  <c r="BH87" i="5"/>
  <c r="BG88" i="5"/>
  <c r="BH88" i="5"/>
  <c r="BG89" i="5"/>
  <c r="BH89" i="5"/>
  <c r="BG90" i="5"/>
  <c r="BH90" i="5"/>
  <c r="BG91" i="5"/>
  <c r="BH91" i="5"/>
  <c r="BG92" i="5"/>
  <c r="BH92" i="5"/>
  <c r="BG93" i="5"/>
  <c r="BH93" i="5"/>
  <c r="BG94" i="5"/>
  <c r="BH94" i="5"/>
  <c r="BG95" i="5"/>
  <c r="BH95" i="5"/>
  <c r="BG96" i="5"/>
  <c r="BH96" i="5"/>
  <c r="BG97" i="5"/>
  <c r="BH97" i="5"/>
  <c r="BG98" i="5"/>
  <c r="BH98" i="5"/>
  <c r="BG99" i="5"/>
  <c r="BH99" i="5"/>
  <c r="BG100" i="5"/>
  <c r="BH100" i="5"/>
  <c r="BG101" i="5"/>
  <c r="BH101" i="5"/>
  <c r="BG102" i="5"/>
  <c r="BH102" i="5"/>
  <c r="BG103" i="5"/>
  <c r="BH103" i="5"/>
  <c r="BG104" i="5"/>
  <c r="BH104" i="5"/>
  <c r="BG105" i="5"/>
  <c r="BH105" i="5"/>
  <c r="BG106" i="5"/>
  <c r="BH106" i="5"/>
  <c r="BG107" i="5"/>
  <c r="BH107" i="5"/>
  <c r="BG108" i="5"/>
  <c r="BH108" i="5"/>
  <c r="BG109" i="5"/>
  <c r="BH109" i="5"/>
  <c r="BG110" i="5"/>
  <c r="BH110" i="5"/>
  <c r="BG111" i="5"/>
  <c r="BH111" i="5"/>
  <c r="BG112" i="5"/>
  <c r="BH112" i="5"/>
  <c r="BG113" i="5"/>
  <c r="BH113" i="5"/>
  <c r="BG114" i="5"/>
  <c r="BH114" i="5"/>
  <c r="BG115" i="5"/>
  <c r="BH115" i="5"/>
  <c r="BG116" i="5"/>
  <c r="BH116" i="5"/>
  <c r="BG117" i="5"/>
  <c r="BH117" i="5"/>
  <c r="BG118" i="5"/>
  <c r="BH118" i="5"/>
  <c r="BG119" i="5"/>
  <c r="BH119" i="5"/>
  <c r="BG120" i="5"/>
  <c r="BH120" i="5"/>
  <c r="BG121" i="5"/>
  <c r="BH121" i="5"/>
  <c r="BG122" i="5"/>
  <c r="BH122" i="5"/>
  <c r="BG123" i="5"/>
  <c r="BH123" i="5"/>
  <c r="BG124" i="5"/>
  <c r="BH124" i="5"/>
  <c r="BG125" i="5"/>
  <c r="BH125" i="5"/>
  <c r="BG126" i="5"/>
  <c r="BH126" i="5"/>
  <c r="BG127" i="5"/>
  <c r="BH127" i="5"/>
  <c r="BG128" i="5"/>
  <c r="BH128" i="5"/>
  <c r="BG129" i="5"/>
  <c r="BH129" i="5"/>
  <c r="BG130" i="5"/>
  <c r="BH130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4" i="5"/>
  <c r="BB85" i="5"/>
  <c r="BB83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AO69" i="6"/>
  <c r="AP69" i="6"/>
  <c r="AQ69" i="6" s="1"/>
  <c r="AO70" i="6"/>
  <c r="AP70" i="6"/>
  <c r="AQ70" i="6" s="1"/>
  <c r="AO71" i="6"/>
  <c r="AP71" i="6"/>
  <c r="AQ71" i="6" s="1"/>
  <c r="AO72" i="6"/>
  <c r="AP72" i="6"/>
  <c r="AQ72" i="6" s="1"/>
  <c r="AO73" i="6"/>
  <c r="AP73" i="6"/>
  <c r="AQ73" i="6" s="1"/>
  <c r="AO74" i="6"/>
  <c r="AP74" i="6"/>
  <c r="AQ74" i="6" s="1"/>
  <c r="AO75" i="6"/>
  <c r="AP75" i="6"/>
  <c r="AQ75" i="6" s="1"/>
  <c r="AO76" i="6"/>
  <c r="AP76" i="6"/>
  <c r="AQ76" i="6" s="1"/>
  <c r="AO77" i="6"/>
  <c r="AP77" i="6"/>
  <c r="AQ77" i="6" s="1"/>
  <c r="AO78" i="6"/>
  <c r="AP78" i="6"/>
  <c r="AQ78" i="6" s="1"/>
  <c r="AO79" i="6"/>
  <c r="AP79" i="6"/>
  <c r="AQ79" i="6" s="1"/>
  <c r="AO80" i="6"/>
  <c r="AP80" i="6"/>
  <c r="AQ80" i="6" s="1"/>
  <c r="AO81" i="6"/>
  <c r="AP81" i="6"/>
  <c r="AQ81" i="6" s="1"/>
  <c r="AO82" i="6"/>
  <c r="AP82" i="6"/>
  <c r="AQ82" i="6" s="1"/>
  <c r="AO84" i="6"/>
  <c r="AP84" i="6"/>
  <c r="AQ84" i="6" s="1"/>
  <c r="AO85" i="6"/>
  <c r="AP85" i="6"/>
  <c r="AQ85" i="6" s="1"/>
  <c r="AO83" i="6"/>
  <c r="AP83" i="6"/>
  <c r="AQ83" i="6" s="1"/>
  <c r="AO86" i="6"/>
  <c r="AP86" i="6"/>
  <c r="AQ86" i="6" s="1"/>
  <c r="AO87" i="6"/>
  <c r="AP87" i="6"/>
  <c r="AQ87" i="6" s="1"/>
  <c r="AO88" i="6"/>
  <c r="AP88" i="6"/>
  <c r="AQ88" i="6" s="1"/>
  <c r="AO89" i="6"/>
  <c r="AP89" i="6"/>
  <c r="AQ89" i="6" s="1"/>
  <c r="AO90" i="6"/>
  <c r="AP90" i="6"/>
  <c r="AQ90" i="6" s="1"/>
  <c r="AO91" i="6"/>
  <c r="AP91" i="6"/>
  <c r="AQ91" i="6" s="1"/>
  <c r="AO92" i="6"/>
  <c r="AP92" i="6"/>
  <c r="AQ92" i="6" s="1"/>
  <c r="AO93" i="6"/>
  <c r="AP93" i="6"/>
  <c r="AQ93" i="6" s="1"/>
  <c r="AO94" i="6"/>
  <c r="AP94" i="6"/>
  <c r="AQ94" i="6" s="1"/>
  <c r="AO95" i="6"/>
  <c r="AP95" i="6"/>
  <c r="AQ95" i="6" s="1"/>
  <c r="AO96" i="6"/>
  <c r="AP96" i="6"/>
  <c r="AQ96" i="6" s="1"/>
  <c r="AO97" i="6"/>
  <c r="AP97" i="6"/>
  <c r="AQ97" i="6" s="1"/>
  <c r="AO98" i="6"/>
  <c r="AP98" i="6"/>
  <c r="AQ98" i="6" s="1"/>
  <c r="AO99" i="6"/>
  <c r="AP99" i="6"/>
  <c r="AQ99" i="6" s="1"/>
  <c r="AO100" i="6"/>
  <c r="AP100" i="6"/>
  <c r="AQ100" i="6" s="1"/>
  <c r="AO101" i="6"/>
  <c r="AP101" i="6"/>
  <c r="AQ101" i="6" s="1"/>
  <c r="AO102" i="6"/>
  <c r="AP102" i="6"/>
  <c r="AQ102" i="6" s="1"/>
  <c r="AO103" i="6"/>
  <c r="AP103" i="6"/>
  <c r="AQ103" i="6" s="1"/>
  <c r="AO104" i="6"/>
  <c r="AP104" i="6"/>
  <c r="AQ104" i="6" s="1"/>
  <c r="AO105" i="6"/>
  <c r="AP105" i="6"/>
  <c r="AQ105" i="6" s="1"/>
  <c r="AO106" i="6"/>
  <c r="AP106" i="6"/>
  <c r="AQ106" i="6" s="1"/>
  <c r="AO107" i="6"/>
  <c r="AP107" i="6"/>
  <c r="AQ107" i="6" s="1"/>
  <c r="AO108" i="6"/>
  <c r="AP108" i="6"/>
  <c r="AQ108" i="6" s="1"/>
  <c r="AO109" i="6"/>
  <c r="AP109" i="6"/>
  <c r="AQ109" i="6" s="1"/>
  <c r="AO110" i="6"/>
  <c r="AP110" i="6"/>
  <c r="AQ110" i="6" s="1"/>
  <c r="AO111" i="6"/>
  <c r="AP111" i="6"/>
  <c r="AQ111" i="6" s="1"/>
  <c r="AO112" i="6"/>
  <c r="AP112" i="6"/>
  <c r="AQ112" i="6" s="1"/>
  <c r="AO113" i="6"/>
  <c r="AP113" i="6"/>
  <c r="AQ113" i="6" s="1"/>
  <c r="AO114" i="6"/>
  <c r="AP114" i="6"/>
  <c r="AQ114" i="6" s="1"/>
  <c r="AO115" i="6"/>
  <c r="AP115" i="6"/>
  <c r="AQ115" i="6" s="1"/>
  <c r="AO116" i="6"/>
  <c r="AP116" i="6"/>
  <c r="AQ116" i="6" s="1"/>
  <c r="AO117" i="6"/>
  <c r="AP117" i="6"/>
  <c r="AQ117" i="6" s="1"/>
  <c r="AO118" i="6"/>
  <c r="AP118" i="6"/>
  <c r="AQ118" i="6" s="1"/>
  <c r="AO119" i="6"/>
  <c r="AP119" i="6"/>
  <c r="AQ119" i="6" s="1"/>
  <c r="AO120" i="6"/>
  <c r="AP120" i="6"/>
  <c r="AQ120" i="6" s="1"/>
  <c r="AO121" i="6"/>
  <c r="AP121" i="6"/>
  <c r="AQ121" i="6" s="1"/>
  <c r="AO122" i="6"/>
  <c r="AP122" i="6"/>
  <c r="AQ122" i="6" s="1"/>
  <c r="AO123" i="6"/>
  <c r="AP123" i="6"/>
  <c r="AQ123" i="6" s="1"/>
  <c r="AO124" i="6"/>
  <c r="AP124" i="6"/>
  <c r="AQ124" i="6" s="1"/>
  <c r="AO125" i="6"/>
  <c r="AP125" i="6"/>
  <c r="AQ125" i="6" s="1"/>
  <c r="AO126" i="6"/>
  <c r="AP126" i="6"/>
  <c r="AQ126" i="6" s="1"/>
  <c r="AO127" i="6"/>
  <c r="AP127" i="6"/>
  <c r="AQ127" i="6" s="1"/>
  <c r="AO128" i="6"/>
  <c r="AP128" i="6"/>
  <c r="AQ128" i="6" s="1"/>
  <c r="AO129" i="6"/>
  <c r="AP129" i="6"/>
  <c r="AQ129" i="6" s="1"/>
  <c r="AO130" i="6"/>
  <c r="AP130" i="6"/>
  <c r="AQ130" i="6" s="1"/>
  <c r="BS69" i="7"/>
  <c r="BT69" i="7"/>
  <c r="BS70" i="7"/>
  <c r="BT70" i="7"/>
  <c r="BS71" i="7"/>
  <c r="BT71" i="7"/>
  <c r="BS72" i="7"/>
  <c r="BT72" i="7"/>
  <c r="BS73" i="7"/>
  <c r="BT73" i="7"/>
  <c r="BS74" i="7"/>
  <c r="BT74" i="7"/>
  <c r="BS75" i="7"/>
  <c r="BT75" i="7"/>
  <c r="BS76" i="7"/>
  <c r="BT76" i="7"/>
  <c r="BS77" i="7"/>
  <c r="BT77" i="7"/>
  <c r="BS78" i="7"/>
  <c r="BT78" i="7"/>
  <c r="BS79" i="7"/>
  <c r="BT79" i="7"/>
  <c r="BS80" i="7"/>
  <c r="BT80" i="7"/>
  <c r="BS81" i="7"/>
  <c r="BT81" i="7"/>
  <c r="BS82" i="7"/>
  <c r="BT82" i="7"/>
  <c r="BS84" i="7"/>
  <c r="BT84" i="7"/>
  <c r="BS85" i="7"/>
  <c r="BT85" i="7"/>
  <c r="BS83" i="7"/>
  <c r="BT83" i="7"/>
  <c r="BS86" i="7"/>
  <c r="BT86" i="7"/>
  <c r="BS87" i="7"/>
  <c r="BT87" i="7"/>
  <c r="BS88" i="7"/>
  <c r="BT88" i="7"/>
  <c r="BS89" i="7"/>
  <c r="BT89" i="7"/>
  <c r="BS90" i="7"/>
  <c r="BT90" i="7"/>
  <c r="BS91" i="7"/>
  <c r="BT91" i="7"/>
  <c r="BS92" i="7"/>
  <c r="BT92" i="7"/>
  <c r="BS93" i="7"/>
  <c r="BT93" i="7"/>
  <c r="BS94" i="7"/>
  <c r="BT94" i="7"/>
  <c r="BS95" i="7"/>
  <c r="BT95" i="7"/>
  <c r="BS96" i="7"/>
  <c r="BT96" i="7"/>
  <c r="BS97" i="7"/>
  <c r="BT97" i="7"/>
  <c r="BS98" i="7"/>
  <c r="BT98" i="7"/>
  <c r="BS99" i="7"/>
  <c r="BT99" i="7"/>
  <c r="BS100" i="7"/>
  <c r="BT100" i="7"/>
  <c r="BS101" i="7"/>
  <c r="BT101" i="7"/>
  <c r="BS102" i="7"/>
  <c r="BT102" i="7"/>
  <c r="BS103" i="7"/>
  <c r="BT103" i="7"/>
  <c r="BS104" i="7"/>
  <c r="BT104" i="7"/>
  <c r="BS105" i="7"/>
  <c r="BT105" i="7"/>
  <c r="BS106" i="7"/>
  <c r="BT106" i="7"/>
  <c r="BS107" i="7"/>
  <c r="BT107" i="7"/>
  <c r="BS108" i="7"/>
  <c r="BT108" i="7"/>
  <c r="BS109" i="7"/>
  <c r="BT109" i="7"/>
  <c r="BS110" i="7"/>
  <c r="BT110" i="7"/>
  <c r="BS111" i="7"/>
  <c r="BT111" i="7"/>
  <c r="BS112" i="7"/>
  <c r="BT112" i="7"/>
  <c r="BS113" i="7"/>
  <c r="BT113" i="7"/>
  <c r="BS114" i="7"/>
  <c r="BT114" i="7"/>
  <c r="BS115" i="7"/>
  <c r="BT115" i="7"/>
  <c r="BS116" i="7"/>
  <c r="BT116" i="7"/>
  <c r="BS117" i="7"/>
  <c r="BT117" i="7"/>
  <c r="BS118" i="7"/>
  <c r="BT118" i="7"/>
  <c r="BS119" i="7"/>
  <c r="BT119" i="7"/>
  <c r="BS120" i="7"/>
  <c r="BT120" i="7"/>
  <c r="BS121" i="7"/>
  <c r="BT121" i="7"/>
  <c r="BS122" i="7"/>
  <c r="BT122" i="7"/>
  <c r="BS123" i="7"/>
  <c r="BT123" i="7"/>
  <c r="BS124" i="7"/>
  <c r="BT124" i="7"/>
  <c r="BS125" i="7"/>
  <c r="BT125" i="7"/>
  <c r="BS126" i="7"/>
  <c r="BT126" i="7"/>
  <c r="BS127" i="7"/>
  <c r="BT127" i="7"/>
  <c r="BS128" i="7"/>
  <c r="BT128" i="7"/>
  <c r="BS129" i="7"/>
  <c r="BT129" i="7"/>
  <c r="BS130" i="7"/>
  <c r="BT130" i="7"/>
  <c r="AP69" i="9"/>
  <c r="AR69" i="9"/>
  <c r="AP70" i="9"/>
  <c r="AR70" i="9"/>
  <c r="AP71" i="9"/>
  <c r="AR71" i="9"/>
  <c r="AP72" i="9"/>
  <c r="AR72" i="9"/>
  <c r="AP73" i="9"/>
  <c r="AR73" i="9"/>
  <c r="AP74" i="9"/>
  <c r="AR74" i="9"/>
  <c r="AP75" i="9"/>
  <c r="AR75" i="9"/>
  <c r="AP76" i="9"/>
  <c r="AR76" i="9"/>
  <c r="AP77" i="9"/>
  <c r="AR77" i="9"/>
  <c r="AP78" i="9"/>
  <c r="AR78" i="9"/>
  <c r="AP79" i="9"/>
  <c r="AR79" i="9"/>
  <c r="AP80" i="9"/>
  <c r="AR80" i="9"/>
  <c r="AP81" i="9"/>
  <c r="AR81" i="9"/>
  <c r="AP82" i="9"/>
  <c r="AR82" i="9"/>
  <c r="AP84" i="9"/>
  <c r="AR84" i="9"/>
  <c r="AP85" i="9"/>
  <c r="AR85" i="9"/>
  <c r="AP83" i="9"/>
  <c r="AR83" i="9"/>
  <c r="AP86" i="9"/>
  <c r="AR86" i="9"/>
  <c r="AP87" i="9"/>
  <c r="AR87" i="9"/>
  <c r="AP88" i="9"/>
  <c r="AR88" i="9"/>
  <c r="AP89" i="9"/>
  <c r="AR89" i="9"/>
  <c r="AP90" i="9"/>
  <c r="AR90" i="9"/>
  <c r="AP91" i="9"/>
  <c r="AR91" i="9"/>
  <c r="AP92" i="9"/>
  <c r="AR92" i="9"/>
  <c r="AP93" i="9"/>
  <c r="AR93" i="9"/>
  <c r="AP94" i="9"/>
  <c r="AR94" i="9"/>
  <c r="AP95" i="9"/>
  <c r="AR95" i="9"/>
  <c r="AP96" i="9"/>
  <c r="AR96" i="9"/>
  <c r="AP97" i="9"/>
  <c r="AR97" i="9"/>
  <c r="AP98" i="9"/>
  <c r="AR98" i="9"/>
  <c r="AP99" i="9"/>
  <c r="AR99" i="9"/>
  <c r="AP100" i="9"/>
  <c r="AR100" i="9"/>
  <c r="AP101" i="9"/>
  <c r="AR101" i="9"/>
  <c r="AP102" i="9"/>
  <c r="AR102" i="9"/>
  <c r="AP103" i="9"/>
  <c r="AR103" i="9"/>
  <c r="AP104" i="9"/>
  <c r="AR104" i="9"/>
  <c r="AP105" i="9"/>
  <c r="AR105" i="9"/>
  <c r="AP106" i="9"/>
  <c r="AR106" i="9"/>
  <c r="AP107" i="9"/>
  <c r="AR107" i="9"/>
  <c r="AP108" i="9"/>
  <c r="AR108" i="9"/>
  <c r="AP109" i="9"/>
  <c r="AR109" i="9"/>
  <c r="AP110" i="9"/>
  <c r="AR110" i="9"/>
  <c r="AP111" i="9"/>
  <c r="AR111" i="9"/>
  <c r="AP112" i="9"/>
  <c r="AR112" i="9"/>
  <c r="AP113" i="9"/>
  <c r="AR113" i="9"/>
  <c r="AP114" i="9"/>
  <c r="AR114" i="9"/>
  <c r="AP115" i="9"/>
  <c r="AR115" i="9"/>
  <c r="AP116" i="9"/>
  <c r="AR116" i="9"/>
  <c r="AP117" i="9"/>
  <c r="AR117" i="9"/>
  <c r="AP118" i="9"/>
  <c r="AR118" i="9"/>
  <c r="AP119" i="9"/>
  <c r="AR119" i="9"/>
  <c r="AP120" i="9"/>
  <c r="AR120" i="9"/>
  <c r="AP121" i="9"/>
  <c r="AR121" i="9"/>
  <c r="AP122" i="9"/>
  <c r="AR122" i="9"/>
  <c r="AP123" i="9"/>
  <c r="AR123" i="9"/>
  <c r="AP124" i="9"/>
  <c r="AR124" i="9"/>
  <c r="AP125" i="9"/>
  <c r="AR125" i="9"/>
  <c r="AP126" i="9"/>
  <c r="AR126" i="9"/>
  <c r="AP127" i="9"/>
  <c r="AR127" i="9"/>
  <c r="AP128" i="9"/>
  <c r="AR128" i="9"/>
  <c r="AP129" i="9"/>
  <c r="AR129" i="9"/>
  <c r="AP130" i="9"/>
  <c r="AR130" i="9"/>
  <c r="AN69" i="9"/>
  <c r="AO69" i="9"/>
  <c r="AQ69" i="9"/>
  <c r="AN70" i="9"/>
  <c r="AO70" i="9"/>
  <c r="AQ70" i="9"/>
  <c r="AN71" i="9"/>
  <c r="AO71" i="9"/>
  <c r="AQ71" i="9"/>
  <c r="AN72" i="9"/>
  <c r="AO72" i="9"/>
  <c r="AQ72" i="9"/>
  <c r="AN73" i="9"/>
  <c r="AO73" i="9"/>
  <c r="AQ73" i="9"/>
  <c r="AN74" i="9"/>
  <c r="AO74" i="9"/>
  <c r="AQ74" i="9"/>
  <c r="AN75" i="9"/>
  <c r="AO75" i="9"/>
  <c r="AQ75" i="9"/>
  <c r="AN76" i="9"/>
  <c r="AO76" i="9"/>
  <c r="AQ76" i="9"/>
  <c r="AN77" i="9"/>
  <c r="AO77" i="9"/>
  <c r="AQ77" i="9"/>
  <c r="AN78" i="9"/>
  <c r="AO78" i="9"/>
  <c r="AQ78" i="9"/>
  <c r="AN79" i="9"/>
  <c r="AO79" i="9"/>
  <c r="AQ79" i="9"/>
  <c r="AN80" i="9"/>
  <c r="AO80" i="9"/>
  <c r="AQ80" i="9"/>
  <c r="AN81" i="9"/>
  <c r="AO81" i="9"/>
  <c r="AQ81" i="9"/>
  <c r="AN82" i="9"/>
  <c r="AO82" i="9"/>
  <c r="AQ82" i="9"/>
  <c r="AN84" i="9"/>
  <c r="AO84" i="9"/>
  <c r="AQ84" i="9"/>
  <c r="AN85" i="9"/>
  <c r="AO85" i="9"/>
  <c r="AQ85" i="9"/>
  <c r="AN83" i="9"/>
  <c r="AO83" i="9"/>
  <c r="AQ83" i="9"/>
  <c r="AN86" i="9"/>
  <c r="AO86" i="9"/>
  <c r="AQ86" i="9"/>
  <c r="AN87" i="9"/>
  <c r="AO87" i="9"/>
  <c r="AQ87" i="9"/>
  <c r="AN88" i="9"/>
  <c r="AO88" i="9"/>
  <c r="AQ88" i="9"/>
  <c r="AN89" i="9"/>
  <c r="AO89" i="9"/>
  <c r="AQ89" i="9"/>
  <c r="AN90" i="9"/>
  <c r="AO90" i="9"/>
  <c r="AQ90" i="9"/>
  <c r="AN91" i="9"/>
  <c r="AO91" i="9"/>
  <c r="AQ91" i="9"/>
  <c r="AN92" i="9"/>
  <c r="AO92" i="9"/>
  <c r="AQ92" i="9"/>
  <c r="AN93" i="9"/>
  <c r="AO93" i="9"/>
  <c r="AQ93" i="9"/>
  <c r="AN94" i="9"/>
  <c r="AO94" i="9"/>
  <c r="AQ94" i="9"/>
  <c r="AN95" i="9"/>
  <c r="AO95" i="9"/>
  <c r="AQ95" i="9"/>
  <c r="AN96" i="9"/>
  <c r="AO96" i="9"/>
  <c r="AQ96" i="9"/>
  <c r="AN97" i="9"/>
  <c r="AO97" i="9"/>
  <c r="AQ97" i="9"/>
  <c r="AN98" i="9"/>
  <c r="AO98" i="9"/>
  <c r="AQ98" i="9"/>
  <c r="AN99" i="9"/>
  <c r="AO99" i="9"/>
  <c r="AQ99" i="9"/>
  <c r="AN100" i="9"/>
  <c r="AO100" i="9"/>
  <c r="AQ100" i="9"/>
  <c r="AN101" i="9"/>
  <c r="AO101" i="9"/>
  <c r="AQ101" i="9"/>
  <c r="AN102" i="9"/>
  <c r="AO102" i="9"/>
  <c r="AQ102" i="9"/>
  <c r="AN103" i="9"/>
  <c r="AO103" i="9"/>
  <c r="AQ103" i="9"/>
  <c r="AN104" i="9"/>
  <c r="AO104" i="9"/>
  <c r="AQ104" i="9"/>
  <c r="AN105" i="9"/>
  <c r="AO105" i="9"/>
  <c r="AQ105" i="9"/>
  <c r="AN106" i="9"/>
  <c r="AO106" i="9"/>
  <c r="AQ106" i="9"/>
  <c r="AN107" i="9"/>
  <c r="AO107" i="9"/>
  <c r="AQ107" i="9"/>
  <c r="AN108" i="9"/>
  <c r="AO108" i="9"/>
  <c r="AQ108" i="9"/>
  <c r="AN109" i="9"/>
  <c r="AO109" i="9"/>
  <c r="AQ109" i="9"/>
  <c r="AN110" i="9"/>
  <c r="AO110" i="9"/>
  <c r="AQ110" i="9"/>
  <c r="AN111" i="9"/>
  <c r="AO111" i="9"/>
  <c r="AQ111" i="9"/>
  <c r="AN112" i="9"/>
  <c r="AO112" i="9"/>
  <c r="AQ112" i="9"/>
  <c r="AN113" i="9"/>
  <c r="AO113" i="9"/>
  <c r="AQ113" i="9"/>
  <c r="AN114" i="9"/>
  <c r="AO114" i="9"/>
  <c r="AQ114" i="9"/>
  <c r="AN115" i="9"/>
  <c r="AO115" i="9"/>
  <c r="AQ115" i="9"/>
  <c r="AN116" i="9"/>
  <c r="AO116" i="9"/>
  <c r="AQ116" i="9"/>
  <c r="AN117" i="9"/>
  <c r="AO117" i="9"/>
  <c r="AQ117" i="9"/>
  <c r="AN118" i="9"/>
  <c r="AO118" i="9"/>
  <c r="AQ118" i="9"/>
  <c r="AN119" i="9"/>
  <c r="AO119" i="9"/>
  <c r="AQ119" i="9"/>
  <c r="AN120" i="9"/>
  <c r="AO120" i="9"/>
  <c r="AQ120" i="9"/>
  <c r="AN121" i="9"/>
  <c r="AO121" i="9"/>
  <c r="AQ121" i="9"/>
  <c r="AN122" i="9"/>
  <c r="AO122" i="9"/>
  <c r="AQ122" i="9"/>
  <c r="AN123" i="9"/>
  <c r="AO123" i="9"/>
  <c r="AQ123" i="9"/>
  <c r="AN124" i="9"/>
  <c r="AO124" i="9"/>
  <c r="AQ124" i="9"/>
  <c r="AN125" i="9"/>
  <c r="AO125" i="9"/>
  <c r="AQ125" i="9"/>
  <c r="AN126" i="9"/>
  <c r="AO126" i="9"/>
  <c r="AQ126" i="9"/>
  <c r="AN127" i="9"/>
  <c r="AO127" i="9"/>
  <c r="AQ127" i="9"/>
  <c r="AN128" i="9"/>
  <c r="AO128" i="9"/>
  <c r="AQ128" i="9"/>
  <c r="AN129" i="9"/>
  <c r="AO129" i="9"/>
  <c r="AQ129" i="9"/>
  <c r="AN130" i="9"/>
  <c r="AO130" i="9"/>
  <c r="AQ130" i="9"/>
  <c r="AD69" i="10"/>
  <c r="AE69" i="10" s="1"/>
  <c r="AD70" i="10"/>
  <c r="AE70" i="10" s="1"/>
  <c r="AD71" i="10"/>
  <c r="AE71" i="10" s="1"/>
  <c r="AD72" i="10"/>
  <c r="AE72" i="10" s="1"/>
  <c r="AD73" i="10"/>
  <c r="AE73" i="10" s="1"/>
  <c r="AD74" i="10"/>
  <c r="AE74" i="10" s="1"/>
  <c r="AD75" i="10"/>
  <c r="AE75" i="10" s="1"/>
  <c r="AD76" i="10"/>
  <c r="AE76" i="10" s="1"/>
  <c r="AD77" i="10"/>
  <c r="AE77" i="10" s="1"/>
  <c r="AD78" i="10"/>
  <c r="AE78" i="10" s="1"/>
  <c r="AD79" i="10"/>
  <c r="AE79" i="10" s="1"/>
  <c r="AD80" i="10"/>
  <c r="AE80" i="10" s="1"/>
  <c r="AD81" i="10"/>
  <c r="AE81" i="10" s="1"/>
  <c r="AD82" i="10"/>
  <c r="AE82" i="10" s="1"/>
  <c r="AD84" i="10"/>
  <c r="AE84" i="10" s="1"/>
  <c r="AD85" i="10"/>
  <c r="AE85" i="10" s="1"/>
  <c r="AD83" i="10"/>
  <c r="AE83" i="10" s="1"/>
  <c r="AD86" i="10"/>
  <c r="AE86" i="10" s="1"/>
  <c r="AD87" i="10"/>
  <c r="AE87" i="10" s="1"/>
  <c r="AD88" i="10"/>
  <c r="AE88" i="10" s="1"/>
  <c r="AD89" i="10"/>
  <c r="AE89" i="10" s="1"/>
  <c r="AD90" i="10"/>
  <c r="AE90" i="10" s="1"/>
  <c r="AD91" i="10"/>
  <c r="AE91" i="10" s="1"/>
  <c r="AD92" i="10"/>
  <c r="AE92" i="10" s="1"/>
  <c r="AD93" i="10"/>
  <c r="AE93" i="10" s="1"/>
  <c r="AD94" i="10"/>
  <c r="AE94" i="10" s="1"/>
  <c r="AD95" i="10"/>
  <c r="AE95" i="10" s="1"/>
  <c r="AD96" i="10"/>
  <c r="AE96" i="10" s="1"/>
  <c r="AD97" i="10"/>
  <c r="AE97" i="10" s="1"/>
  <c r="AD98" i="10"/>
  <c r="AE98" i="10" s="1"/>
  <c r="AD99" i="10"/>
  <c r="AE99" i="10" s="1"/>
  <c r="AD100" i="10"/>
  <c r="AE100" i="10" s="1"/>
  <c r="AD101" i="10"/>
  <c r="AE101" i="10" s="1"/>
  <c r="AD102" i="10"/>
  <c r="AE102" i="10" s="1"/>
  <c r="AD103" i="10"/>
  <c r="AE103" i="10" s="1"/>
  <c r="AD104" i="10"/>
  <c r="AE104" i="10" s="1"/>
  <c r="AD105" i="10"/>
  <c r="AE105" i="10" s="1"/>
  <c r="AD106" i="10"/>
  <c r="AE106" i="10" s="1"/>
  <c r="AD107" i="10"/>
  <c r="AE107" i="10" s="1"/>
  <c r="AD108" i="10"/>
  <c r="AE108" i="10" s="1"/>
  <c r="AD109" i="10"/>
  <c r="AE109" i="10" s="1"/>
  <c r="AD110" i="10"/>
  <c r="AE110" i="10" s="1"/>
  <c r="AD111" i="10"/>
  <c r="AE111" i="10" s="1"/>
  <c r="AD112" i="10"/>
  <c r="AE112" i="10" s="1"/>
  <c r="AD113" i="10"/>
  <c r="AE113" i="10" s="1"/>
  <c r="AD114" i="10"/>
  <c r="AE114" i="10" s="1"/>
  <c r="AD115" i="10"/>
  <c r="AE115" i="10" s="1"/>
  <c r="AD116" i="10"/>
  <c r="AE116" i="10" s="1"/>
  <c r="AD117" i="10"/>
  <c r="AE117" i="10" s="1"/>
  <c r="AD118" i="10"/>
  <c r="AE118" i="10" s="1"/>
  <c r="AD119" i="10"/>
  <c r="AE119" i="10" s="1"/>
  <c r="AD120" i="10"/>
  <c r="AE120" i="10" s="1"/>
  <c r="AD121" i="10"/>
  <c r="AE121" i="10" s="1"/>
  <c r="AD122" i="10"/>
  <c r="AE122" i="10" s="1"/>
  <c r="AD123" i="10"/>
  <c r="AE123" i="10" s="1"/>
  <c r="AD124" i="10"/>
  <c r="AE124" i="10" s="1"/>
  <c r="AD125" i="10"/>
  <c r="AE125" i="10" s="1"/>
  <c r="AD126" i="10"/>
  <c r="AE126" i="10" s="1"/>
  <c r="AD127" i="10"/>
  <c r="AE127" i="10" s="1"/>
  <c r="AD128" i="10"/>
  <c r="AE128" i="10" s="1"/>
  <c r="AD129" i="10"/>
  <c r="AE129" i="10" s="1"/>
  <c r="AD130" i="10"/>
  <c r="AE130" i="10" s="1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4" i="10"/>
  <c r="AC85" i="10"/>
  <c r="AC83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CF82" i="11"/>
  <c r="CI69" i="11"/>
  <c r="CI70" i="11"/>
  <c r="CI71" i="11"/>
  <c r="CI72" i="11"/>
  <c r="CI73" i="11"/>
  <c r="CI74" i="11"/>
  <c r="CI75" i="11"/>
  <c r="CI76" i="11"/>
  <c r="CI77" i="11"/>
  <c r="CI78" i="11"/>
  <c r="CI79" i="11"/>
  <c r="CI80" i="11"/>
  <c r="CI81" i="11"/>
  <c r="CI82" i="11"/>
  <c r="CI84" i="11"/>
  <c r="CI85" i="11"/>
  <c r="CI83" i="11"/>
  <c r="CI86" i="11"/>
  <c r="CI87" i="11"/>
  <c r="CI88" i="11"/>
  <c r="CI89" i="11"/>
  <c r="CI90" i="11"/>
  <c r="CI91" i="11"/>
  <c r="CI92" i="11"/>
  <c r="CI93" i="11"/>
  <c r="CI94" i="11"/>
  <c r="CI95" i="11"/>
  <c r="CI96" i="11"/>
  <c r="CI97" i="11"/>
  <c r="CI98" i="11"/>
  <c r="CI99" i="11"/>
  <c r="CI100" i="11"/>
  <c r="CI101" i="11"/>
  <c r="CI102" i="11"/>
  <c r="CI103" i="11"/>
  <c r="CI104" i="11"/>
  <c r="CI105" i="11"/>
  <c r="CI106" i="11"/>
  <c r="CI107" i="11"/>
  <c r="CI108" i="11"/>
  <c r="CI109" i="11"/>
  <c r="CI110" i="11"/>
  <c r="CI111" i="11"/>
  <c r="CI112" i="11"/>
  <c r="CI113" i="11"/>
  <c r="CI114" i="11"/>
  <c r="CI115" i="11"/>
  <c r="CI116" i="11"/>
  <c r="CI117" i="11"/>
  <c r="CI118" i="11"/>
  <c r="CI119" i="11"/>
  <c r="CI120" i="11"/>
  <c r="CI121" i="11"/>
  <c r="CI122" i="11"/>
  <c r="CI123" i="11"/>
  <c r="CI124" i="11"/>
  <c r="CI125" i="11"/>
  <c r="CI126" i="11"/>
  <c r="CI127" i="11"/>
  <c r="CI128" i="11"/>
  <c r="CI129" i="11"/>
  <c r="CI130" i="11"/>
  <c r="CG69" i="11"/>
  <c r="CH69" i="11"/>
  <c r="CG70" i="11"/>
  <c r="CH70" i="11"/>
  <c r="CG71" i="11"/>
  <c r="CH71" i="11"/>
  <c r="CG72" i="11"/>
  <c r="CH72" i="11"/>
  <c r="CG73" i="11"/>
  <c r="CH73" i="11"/>
  <c r="CG74" i="11"/>
  <c r="CH74" i="11"/>
  <c r="CG75" i="11"/>
  <c r="CH75" i="11"/>
  <c r="CG76" i="11"/>
  <c r="CH76" i="11"/>
  <c r="CG77" i="11"/>
  <c r="CH77" i="11"/>
  <c r="CG78" i="11"/>
  <c r="CH78" i="11"/>
  <c r="CG79" i="11"/>
  <c r="CH79" i="11"/>
  <c r="CG80" i="11"/>
  <c r="CH80" i="11"/>
  <c r="CG81" i="11"/>
  <c r="CH81" i="11"/>
  <c r="CG82" i="11"/>
  <c r="CH82" i="11"/>
  <c r="CG84" i="11"/>
  <c r="CH84" i="11"/>
  <c r="CG85" i="11"/>
  <c r="CH85" i="11"/>
  <c r="CG83" i="11"/>
  <c r="CH83" i="11"/>
  <c r="CG86" i="11"/>
  <c r="CH86" i="11"/>
  <c r="CG87" i="11"/>
  <c r="CH87" i="11"/>
  <c r="CG88" i="11"/>
  <c r="CH88" i="11"/>
  <c r="CG89" i="11"/>
  <c r="CH89" i="11"/>
  <c r="CG90" i="11"/>
  <c r="CH90" i="11"/>
  <c r="CG91" i="11"/>
  <c r="CH91" i="11"/>
  <c r="CG92" i="11"/>
  <c r="CH92" i="11"/>
  <c r="CG93" i="11"/>
  <c r="CH93" i="11"/>
  <c r="CG94" i="11"/>
  <c r="CH94" i="11"/>
  <c r="CG95" i="11"/>
  <c r="CH95" i="11"/>
  <c r="CG96" i="11"/>
  <c r="CH96" i="11"/>
  <c r="CG97" i="11"/>
  <c r="CH97" i="11"/>
  <c r="CG98" i="11"/>
  <c r="CH98" i="11"/>
  <c r="CG99" i="11"/>
  <c r="CH99" i="11"/>
  <c r="CG100" i="11"/>
  <c r="CH100" i="11"/>
  <c r="CG101" i="11"/>
  <c r="CH101" i="11"/>
  <c r="CG102" i="11"/>
  <c r="CH102" i="11"/>
  <c r="CG103" i="11"/>
  <c r="CH103" i="11"/>
  <c r="CG104" i="11"/>
  <c r="CH104" i="11"/>
  <c r="CG105" i="11"/>
  <c r="CH105" i="11"/>
  <c r="CG106" i="11"/>
  <c r="CH106" i="11"/>
  <c r="CG107" i="11"/>
  <c r="CH107" i="11"/>
  <c r="CG108" i="11"/>
  <c r="CH108" i="11"/>
  <c r="CG109" i="11"/>
  <c r="CH109" i="11"/>
  <c r="CG110" i="11"/>
  <c r="CH110" i="11"/>
  <c r="CG111" i="11"/>
  <c r="CH111" i="11"/>
  <c r="CG112" i="11"/>
  <c r="CH112" i="11"/>
  <c r="CG113" i="11"/>
  <c r="CH113" i="11"/>
  <c r="CG114" i="11"/>
  <c r="CH114" i="11"/>
  <c r="CG115" i="11"/>
  <c r="CH115" i="11"/>
  <c r="CG116" i="11"/>
  <c r="CH116" i="11"/>
  <c r="CG117" i="11"/>
  <c r="CH117" i="11"/>
  <c r="CG118" i="11"/>
  <c r="CH118" i="11"/>
  <c r="CG119" i="11"/>
  <c r="CH119" i="11"/>
  <c r="CG120" i="11"/>
  <c r="CH120" i="11"/>
  <c r="CG121" i="11"/>
  <c r="CH121" i="11"/>
  <c r="CG122" i="11"/>
  <c r="CH122" i="11"/>
  <c r="CG123" i="11"/>
  <c r="CH123" i="11"/>
  <c r="CG124" i="11"/>
  <c r="CH124" i="11"/>
  <c r="CG125" i="11"/>
  <c r="CH125" i="11"/>
  <c r="CG126" i="11"/>
  <c r="CH126" i="11"/>
  <c r="CG127" i="11"/>
  <c r="CH127" i="11"/>
  <c r="CG128" i="11"/>
  <c r="CH128" i="11"/>
  <c r="CG129" i="11"/>
  <c r="CH129" i="11"/>
  <c r="CG130" i="11"/>
  <c r="CH130" i="11"/>
  <c r="AZ82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4" i="2"/>
  <c r="BB85" i="2"/>
  <c r="BB83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4" i="2"/>
  <c r="BA85" i="2"/>
  <c r="BA83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CF82" i="4"/>
  <c r="CC82" i="4"/>
  <c r="AK82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4" i="1"/>
  <c r="AL85" i="1"/>
  <c r="AL83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CD69" i="4"/>
  <c r="CE69" i="4"/>
  <c r="CD70" i="4"/>
  <c r="CE70" i="4"/>
  <c r="CD71" i="4"/>
  <c r="CE71" i="4"/>
  <c r="CD72" i="4"/>
  <c r="CE72" i="4"/>
  <c r="CD73" i="4"/>
  <c r="CE73" i="4"/>
  <c r="CD74" i="4"/>
  <c r="CE74" i="4"/>
  <c r="CD75" i="4"/>
  <c r="CE75" i="4"/>
  <c r="CD76" i="4"/>
  <c r="CE76" i="4"/>
  <c r="CD77" i="4"/>
  <c r="CE77" i="4"/>
  <c r="CD78" i="4"/>
  <c r="CE78" i="4"/>
  <c r="CD79" i="4"/>
  <c r="CE79" i="4"/>
  <c r="CD80" i="4"/>
  <c r="CE80" i="4"/>
  <c r="CD81" i="4"/>
  <c r="CE81" i="4"/>
  <c r="CD82" i="4"/>
  <c r="CE82" i="4"/>
  <c r="CD84" i="4"/>
  <c r="CE84" i="4"/>
  <c r="CD85" i="4"/>
  <c r="CE85" i="4"/>
  <c r="CD83" i="4"/>
  <c r="CE83" i="4"/>
  <c r="CD86" i="4"/>
  <c r="CE86" i="4"/>
  <c r="CD87" i="4"/>
  <c r="CE87" i="4"/>
  <c r="CD88" i="4"/>
  <c r="CE88" i="4"/>
  <c r="CD89" i="4"/>
  <c r="CE89" i="4"/>
  <c r="CD90" i="4"/>
  <c r="CE90" i="4"/>
  <c r="CD91" i="4"/>
  <c r="CE91" i="4"/>
  <c r="CD92" i="4"/>
  <c r="CE92" i="4"/>
  <c r="CD93" i="4"/>
  <c r="CE93" i="4"/>
  <c r="CD94" i="4"/>
  <c r="CE94" i="4"/>
  <c r="CD95" i="4"/>
  <c r="CE95" i="4"/>
  <c r="CD96" i="4"/>
  <c r="CE96" i="4"/>
  <c r="CD97" i="4"/>
  <c r="CE97" i="4"/>
  <c r="CD98" i="4"/>
  <c r="CE98" i="4"/>
  <c r="CD99" i="4"/>
  <c r="CE99" i="4"/>
  <c r="CD100" i="4"/>
  <c r="CE100" i="4"/>
  <c r="CD101" i="4"/>
  <c r="CE101" i="4"/>
  <c r="CD102" i="4"/>
  <c r="CE102" i="4"/>
  <c r="CD103" i="4"/>
  <c r="CE103" i="4"/>
  <c r="CD104" i="4"/>
  <c r="CE104" i="4"/>
  <c r="CD105" i="4"/>
  <c r="CE105" i="4"/>
  <c r="CD106" i="4"/>
  <c r="CE106" i="4"/>
  <c r="CD107" i="4"/>
  <c r="CE107" i="4"/>
  <c r="CD108" i="4"/>
  <c r="CE108" i="4"/>
  <c r="CD109" i="4"/>
  <c r="CE109" i="4"/>
  <c r="CD110" i="4"/>
  <c r="CE110" i="4"/>
  <c r="CD111" i="4"/>
  <c r="CE111" i="4"/>
  <c r="CD112" i="4"/>
  <c r="CE112" i="4"/>
  <c r="CD113" i="4"/>
  <c r="CE113" i="4"/>
  <c r="CD114" i="4"/>
  <c r="CE114" i="4"/>
  <c r="CD115" i="4"/>
  <c r="CE115" i="4"/>
  <c r="CD116" i="4"/>
  <c r="CE116" i="4"/>
  <c r="CD117" i="4"/>
  <c r="CE117" i="4"/>
  <c r="CD118" i="4"/>
  <c r="CE118" i="4"/>
  <c r="CD119" i="4"/>
  <c r="CE119" i="4"/>
  <c r="CD120" i="4"/>
  <c r="CE120" i="4"/>
  <c r="CD121" i="4"/>
  <c r="CE121" i="4"/>
  <c r="CD122" i="4"/>
  <c r="CE122" i="4"/>
  <c r="CD123" i="4"/>
  <c r="CE123" i="4"/>
  <c r="CD124" i="4"/>
  <c r="CE124" i="4"/>
  <c r="CD125" i="4"/>
  <c r="CE125" i="4"/>
  <c r="CD126" i="4"/>
  <c r="CE126" i="4"/>
  <c r="CD127" i="4"/>
  <c r="CE127" i="4"/>
  <c r="CD128" i="4"/>
  <c r="CE128" i="4"/>
  <c r="CD129" i="4"/>
  <c r="CE129" i="4"/>
  <c r="CD130" i="4"/>
  <c r="CE130" i="4"/>
  <c r="AK69" i="9"/>
  <c r="AL69" i="9" s="1"/>
  <c r="AK70" i="9"/>
  <c r="AL70" i="9" s="1"/>
  <c r="AK71" i="9"/>
  <c r="AL71" i="9" s="1"/>
  <c r="AK72" i="9"/>
  <c r="AL72" i="9" s="1"/>
  <c r="AK73" i="9"/>
  <c r="AL73" i="9" s="1"/>
  <c r="AK74" i="9"/>
  <c r="AL74" i="9" s="1"/>
  <c r="AK75" i="9"/>
  <c r="AL75" i="9" s="1"/>
  <c r="AK76" i="9"/>
  <c r="AL76" i="9" s="1"/>
  <c r="AK77" i="9"/>
  <c r="AL77" i="9" s="1"/>
  <c r="AK78" i="9"/>
  <c r="AL78" i="9" s="1"/>
  <c r="AK79" i="9"/>
  <c r="AL79" i="9" s="1"/>
  <c r="AK80" i="9"/>
  <c r="AL80" i="9" s="1"/>
  <c r="AK81" i="9"/>
  <c r="AL81" i="9" s="1"/>
  <c r="AK82" i="9"/>
  <c r="AL82" i="9" s="1"/>
  <c r="AK84" i="9"/>
  <c r="AL84" i="9" s="1"/>
  <c r="AK85" i="9"/>
  <c r="AL85" i="9" s="1"/>
  <c r="AK83" i="9"/>
  <c r="AL83" i="9" s="1"/>
  <c r="AK86" i="9"/>
  <c r="AL86" i="9" s="1"/>
  <c r="AK87" i="9"/>
  <c r="AL87" i="9" s="1"/>
  <c r="AK88" i="9"/>
  <c r="AL88" i="9" s="1"/>
  <c r="AK89" i="9"/>
  <c r="AL89" i="9" s="1"/>
  <c r="AK90" i="9"/>
  <c r="AL90" i="9" s="1"/>
  <c r="AK91" i="9"/>
  <c r="AL91" i="9" s="1"/>
  <c r="AK92" i="9"/>
  <c r="AL92" i="9" s="1"/>
  <c r="AK93" i="9"/>
  <c r="AL93" i="9" s="1"/>
  <c r="AK94" i="9"/>
  <c r="AL94" i="9" s="1"/>
  <c r="AK95" i="9"/>
  <c r="AL95" i="9" s="1"/>
  <c r="AK96" i="9"/>
  <c r="AL96" i="9" s="1"/>
  <c r="AK97" i="9"/>
  <c r="AL97" i="9" s="1"/>
  <c r="AK98" i="9"/>
  <c r="AL98" i="9" s="1"/>
  <c r="AK99" i="9"/>
  <c r="AL99" i="9" s="1"/>
  <c r="AK100" i="9"/>
  <c r="AL100" i="9" s="1"/>
  <c r="AK101" i="9"/>
  <c r="AL101" i="9" s="1"/>
  <c r="AK102" i="9"/>
  <c r="AL102" i="9" s="1"/>
  <c r="AK103" i="9"/>
  <c r="AL103" i="9" s="1"/>
  <c r="AK104" i="9"/>
  <c r="AL104" i="9" s="1"/>
  <c r="AK105" i="9"/>
  <c r="AL105" i="9" s="1"/>
  <c r="AK106" i="9"/>
  <c r="AL106" i="9" s="1"/>
  <c r="AK107" i="9"/>
  <c r="AL107" i="9" s="1"/>
  <c r="AK108" i="9"/>
  <c r="AL108" i="9" s="1"/>
  <c r="AK109" i="9"/>
  <c r="AL109" i="9" s="1"/>
  <c r="AK110" i="9"/>
  <c r="AL110" i="9" s="1"/>
  <c r="AK111" i="9"/>
  <c r="AL111" i="9" s="1"/>
  <c r="AK112" i="9"/>
  <c r="AL112" i="9" s="1"/>
  <c r="AK113" i="9"/>
  <c r="AL113" i="9" s="1"/>
  <c r="AK114" i="9"/>
  <c r="AL114" i="9" s="1"/>
  <c r="AK115" i="9"/>
  <c r="AL115" i="9" s="1"/>
  <c r="AK116" i="9"/>
  <c r="AL116" i="9" s="1"/>
  <c r="AK117" i="9"/>
  <c r="AL117" i="9" s="1"/>
  <c r="AK118" i="9"/>
  <c r="AL118" i="9" s="1"/>
  <c r="AK119" i="9"/>
  <c r="AL119" i="9" s="1"/>
  <c r="AK120" i="9"/>
  <c r="AL120" i="9" s="1"/>
  <c r="AK121" i="9"/>
  <c r="AL121" i="9" s="1"/>
  <c r="AK122" i="9"/>
  <c r="AL122" i="9" s="1"/>
  <c r="AK123" i="9"/>
  <c r="AL123" i="9" s="1"/>
  <c r="AK124" i="9"/>
  <c r="AL124" i="9" s="1"/>
  <c r="AK125" i="9"/>
  <c r="AL125" i="9" s="1"/>
  <c r="AK126" i="9"/>
  <c r="AL126" i="9" s="1"/>
  <c r="AK127" i="9"/>
  <c r="AL127" i="9" s="1"/>
  <c r="AK128" i="9"/>
  <c r="AL128" i="9" s="1"/>
  <c r="AK129" i="9"/>
  <c r="AL129" i="9" s="1"/>
  <c r="AK130" i="9"/>
  <c r="AL130" i="9" s="1"/>
  <c r="BA82" i="5"/>
  <c r="BD82" i="5"/>
  <c r="AK82" i="6"/>
  <c r="AL82" i="6"/>
  <c r="BO82" i="7"/>
  <c r="AI81" i="9"/>
  <c r="AI82" i="9"/>
  <c r="AI84" i="9"/>
  <c r="AI85" i="9"/>
  <c r="AH82" i="9"/>
  <c r="CJ82" i="11" l="1"/>
  <c r="BC82" i="2"/>
  <c r="AM82" i="1"/>
  <c r="BW82" i="4"/>
  <c r="BY82" i="4" s="1"/>
  <c r="AM82" i="6"/>
  <c r="BQ82" i="7"/>
  <c r="BE82" i="5"/>
  <c r="CG82" i="4"/>
  <c r="AJ82" i="9"/>
  <c r="AE130" i="1" l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3" i="1"/>
  <c r="AE85" i="1"/>
  <c r="AE84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G67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3" i="6"/>
  <c r="AE85" i="6"/>
  <c r="AE84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C109" i="9"/>
  <c r="W128" i="9"/>
  <c r="M128" i="9"/>
  <c r="G128" i="9"/>
  <c r="W109" i="9"/>
  <c r="M109" i="9"/>
  <c r="G109" i="9"/>
  <c r="AC109" i="8"/>
  <c r="M109" i="8"/>
  <c r="O128" i="6"/>
  <c r="K128" i="6"/>
  <c r="O109" i="6"/>
  <c r="K109" i="6"/>
  <c r="W109" i="5"/>
  <c r="AW109" i="5" s="1"/>
  <c r="BB109" i="4"/>
  <c r="BO109" i="4" s="1"/>
  <c r="BB128" i="4"/>
  <c r="BO128" i="4" s="1"/>
  <c r="O109" i="1"/>
  <c r="K109" i="1"/>
  <c r="O128" i="1"/>
  <c r="K128" i="1"/>
  <c r="AT128" i="2"/>
  <c r="AT127" i="2"/>
  <c r="AT109" i="2"/>
  <c r="W109" i="2"/>
  <c r="BE128" i="11"/>
  <c r="BR128" i="11" s="1"/>
  <c r="BE109" i="11"/>
  <c r="BR109" i="11" s="1"/>
  <c r="W109" i="10"/>
  <c r="S109" i="10"/>
  <c r="CF130" i="11"/>
  <c r="CF129" i="11"/>
  <c r="CF128" i="11"/>
  <c r="CF127" i="11"/>
  <c r="CF126" i="11"/>
  <c r="CF125" i="11"/>
  <c r="CF124" i="11"/>
  <c r="CF123" i="11"/>
  <c r="CF122" i="11"/>
  <c r="CF121" i="11"/>
  <c r="CF120" i="11"/>
  <c r="CF119" i="11"/>
  <c r="CF118" i="11"/>
  <c r="CF117" i="11"/>
  <c r="CF116" i="11"/>
  <c r="CF115" i="11"/>
  <c r="CF114" i="11"/>
  <c r="CF113" i="11"/>
  <c r="CF112" i="11"/>
  <c r="CF111" i="11"/>
  <c r="CF110" i="11"/>
  <c r="CF109" i="11"/>
  <c r="CF108" i="11"/>
  <c r="CF107" i="11"/>
  <c r="CF106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3" i="11"/>
  <c r="CF85" i="11"/>
  <c r="CF84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7" i="2"/>
  <c r="AZ116" i="2"/>
  <c r="AZ115" i="2"/>
  <c r="AZ114" i="2"/>
  <c r="AZ113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6" i="2"/>
  <c r="AZ95" i="2"/>
  <c r="AZ94" i="2"/>
  <c r="AZ93" i="2"/>
  <c r="AZ92" i="2"/>
  <c r="AZ91" i="2"/>
  <c r="AZ90" i="2"/>
  <c r="AZ89" i="2"/>
  <c r="AZ88" i="2"/>
  <c r="AZ87" i="2"/>
  <c r="AZ86" i="2"/>
  <c r="AZ83" i="2"/>
  <c r="AZ85" i="2"/>
  <c r="AZ84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3" i="1"/>
  <c r="AK85" i="1"/>
  <c r="AK84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CF130" i="4"/>
  <c r="CF129" i="4"/>
  <c r="CF128" i="4"/>
  <c r="CF127" i="4"/>
  <c r="CF126" i="4"/>
  <c r="CF125" i="4"/>
  <c r="CF124" i="4"/>
  <c r="CF123" i="4"/>
  <c r="CF122" i="4"/>
  <c r="CF121" i="4"/>
  <c r="CF120" i="4"/>
  <c r="CF119" i="4"/>
  <c r="CF118" i="4"/>
  <c r="CF117" i="4"/>
  <c r="CF116" i="4"/>
  <c r="CF115" i="4"/>
  <c r="CF114" i="4"/>
  <c r="CF113" i="4"/>
  <c r="CF112" i="4"/>
  <c r="CF111" i="4"/>
  <c r="CF110" i="4"/>
  <c r="CF109" i="4"/>
  <c r="CF108" i="4"/>
  <c r="CF107" i="4"/>
  <c r="CF106" i="4"/>
  <c r="CF105" i="4"/>
  <c r="CF104" i="4"/>
  <c r="CF103" i="4"/>
  <c r="CF102" i="4"/>
  <c r="CF101" i="4"/>
  <c r="CF100" i="4"/>
  <c r="CF99" i="4"/>
  <c r="CF98" i="4"/>
  <c r="CF97" i="4"/>
  <c r="CF96" i="4"/>
  <c r="CF95" i="4"/>
  <c r="CF94" i="4"/>
  <c r="CF93" i="4"/>
  <c r="CF92" i="4"/>
  <c r="CF91" i="4"/>
  <c r="CF90" i="4"/>
  <c r="CF89" i="4"/>
  <c r="CF88" i="4"/>
  <c r="CF87" i="4"/>
  <c r="CF86" i="4"/>
  <c r="CF83" i="4"/>
  <c r="CF85" i="4"/>
  <c r="CF84" i="4"/>
  <c r="CF81" i="4"/>
  <c r="CF80" i="4"/>
  <c r="CF79" i="4"/>
  <c r="CF78" i="4"/>
  <c r="CF77" i="4"/>
  <c r="CF76" i="4"/>
  <c r="CF75" i="4"/>
  <c r="CF74" i="4"/>
  <c r="CF73" i="4"/>
  <c r="CF72" i="4"/>
  <c r="CF71" i="4"/>
  <c r="CF70" i="4"/>
  <c r="CF69" i="4"/>
  <c r="CC130" i="4"/>
  <c r="CC129" i="4"/>
  <c r="CC128" i="4"/>
  <c r="CC127" i="4"/>
  <c r="CC126" i="4"/>
  <c r="CC125" i="4"/>
  <c r="CC124" i="4"/>
  <c r="CC123" i="4"/>
  <c r="CC122" i="4"/>
  <c r="CC121" i="4"/>
  <c r="CC120" i="4"/>
  <c r="CC119" i="4"/>
  <c r="CC118" i="4"/>
  <c r="CC117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94" i="4"/>
  <c r="CC93" i="4"/>
  <c r="CC92" i="4"/>
  <c r="CC91" i="4"/>
  <c r="CC90" i="4"/>
  <c r="CC89" i="4"/>
  <c r="CC88" i="4"/>
  <c r="CC87" i="4"/>
  <c r="CC86" i="4"/>
  <c r="CC83" i="4"/>
  <c r="CC85" i="4"/>
  <c r="CC84" i="4"/>
  <c r="CC81" i="4"/>
  <c r="CC80" i="4"/>
  <c r="CC79" i="4"/>
  <c r="CC78" i="4"/>
  <c r="CC77" i="4"/>
  <c r="CC76" i="4"/>
  <c r="CC75" i="4"/>
  <c r="CC74" i="4"/>
  <c r="CC73" i="4"/>
  <c r="CC72" i="4"/>
  <c r="CC71" i="4"/>
  <c r="CC70" i="4"/>
  <c r="CC69" i="4"/>
  <c r="BD130" i="5"/>
  <c r="BD129" i="5"/>
  <c r="BD128" i="5"/>
  <c r="BD127" i="5"/>
  <c r="BD126" i="5"/>
  <c r="BD125" i="5"/>
  <c r="BD124" i="5"/>
  <c r="BD123" i="5"/>
  <c r="BD122" i="5"/>
  <c r="BD121" i="5"/>
  <c r="BD120" i="5"/>
  <c r="BD119" i="5"/>
  <c r="BD118" i="5"/>
  <c r="BD117" i="5"/>
  <c r="BD116" i="5"/>
  <c r="BD115" i="5"/>
  <c r="BD114" i="5"/>
  <c r="BD113" i="5"/>
  <c r="BD112" i="5"/>
  <c r="BD111" i="5"/>
  <c r="BD110" i="5"/>
  <c r="BD109" i="5"/>
  <c r="BD108" i="5"/>
  <c r="BD107" i="5"/>
  <c r="BD106" i="5"/>
  <c r="B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3" i="5"/>
  <c r="BD85" i="5"/>
  <c r="BD84" i="5"/>
  <c r="B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A130" i="5"/>
  <c r="BA129" i="5"/>
  <c r="BA128" i="5"/>
  <c r="BA127" i="5"/>
  <c r="BA126" i="5"/>
  <c r="BA125" i="5"/>
  <c r="BA124" i="5"/>
  <c r="BA123" i="5"/>
  <c r="BA122" i="5"/>
  <c r="BA121" i="5"/>
  <c r="BA120" i="5"/>
  <c r="BA119" i="5"/>
  <c r="BA118" i="5"/>
  <c r="BA117" i="5"/>
  <c r="BA116" i="5"/>
  <c r="BA115" i="5"/>
  <c r="BA114" i="5"/>
  <c r="BA113" i="5"/>
  <c r="BA112" i="5"/>
  <c r="BA111" i="5"/>
  <c r="BA110" i="5"/>
  <c r="BA109" i="5"/>
  <c r="BA108" i="5"/>
  <c r="BA107" i="5"/>
  <c r="BA106" i="5"/>
  <c r="BA105" i="5"/>
  <c r="BA104" i="5"/>
  <c r="BA103" i="5"/>
  <c r="BA102" i="5"/>
  <c r="BA101" i="5"/>
  <c r="BA100" i="5"/>
  <c r="BA99" i="5"/>
  <c r="BA98" i="5"/>
  <c r="BA97" i="5"/>
  <c r="BA96" i="5"/>
  <c r="BA95" i="5"/>
  <c r="BA94" i="5"/>
  <c r="BA93" i="5"/>
  <c r="BA92" i="5"/>
  <c r="BA91" i="5"/>
  <c r="BA90" i="5"/>
  <c r="BA89" i="5"/>
  <c r="BA88" i="5"/>
  <c r="BA87" i="5"/>
  <c r="BA86" i="5"/>
  <c r="BA83" i="5"/>
  <c r="BA85" i="5"/>
  <c r="BA84" i="5"/>
  <c r="BA81" i="5"/>
  <c r="BA80" i="5"/>
  <c r="BA79" i="5"/>
  <c r="BA78" i="5"/>
  <c r="BA77" i="5"/>
  <c r="BA76" i="5"/>
  <c r="BA75" i="5"/>
  <c r="BA74" i="5"/>
  <c r="BA73" i="5"/>
  <c r="BA72" i="5"/>
  <c r="BA71" i="5"/>
  <c r="BA70" i="5"/>
  <c r="BA69" i="5"/>
  <c r="AL130" i="6"/>
  <c r="AL129" i="6"/>
  <c r="AL128" i="6"/>
  <c r="AL127" i="6"/>
  <c r="AL126" i="6"/>
  <c r="AL125" i="6"/>
  <c r="AL124" i="6"/>
  <c r="AL123" i="6"/>
  <c r="AL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L109" i="6"/>
  <c r="AL108" i="6"/>
  <c r="AL107" i="6"/>
  <c r="AL106" i="6"/>
  <c r="AL105" i="6"/>
  <c r="AL104" i="6"/>
  <c r="AL103" i="6"/>
  <c r="AL102" i="6"/>
  <c r="AL101" i="6"/>
  <c r="AL100" i="6"/>
  <c r="AL99" i="6"/>
  <c r="AL98" i="6"/>
  <c r="AL97" i="6"/>
  <c r="AL96" i="6"/>
  <c r="AL95" i="6"/>
  <c r="AL94" i="6"/>
  <c r="AL93" i="6"/>
  <c r="AL92" i="6"/>
  <c r="AL91" i="6"/>
  <c r="AL90" i="6"/>
  <c r="AL89" i="6"/>
  <c r="AL88" i="6"/>
  <c r="AL87" i="6"/>
  <c r="AL86" i="6"/>
  <c r="AL83" i="6"/>
  <c r="AL85" i="6"/>
  <c r="AL84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K130" i="6"/>
  <c r="AK129" i="6"/>
  <c r="AK128" i="6"/>
  <c r="AK127" i="6"/>
  <c r="AK126" i="6"/>
  <c r="AK125" i="6"/>
  <c r="AK124" i="6"/>
  <c r="AK123" i="6"/>
  <c r="AK122" i="6"/>
  <c r="AK121" i="6"/>
  <c r="AK120" i="6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2" i="6"/>
  <c r="AK91" i="6"/>
  <c r="AK90" i="6"/>
  <c r="AK89" i="6"/>
  <c r="AK88" i="6"/>
  <c r="AK87" i="6"/>
  <c r="AK86" i="6"/>
  <c r="AK83" i="6"/>
  <c r="AK85" i="6"/>
  <c r="AK84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BC109" i="7"/>
  <c r="BO130" i="7"/>
  <c r="BO129" i="7"/>
  <c r="BO128" i="7"/>
  <c r="BO127" i="7"/>
  <c r="BO126" i="7"/>
  <c r="BO125" i="7"/>
  <c r="BO124" i="7"/>
  <c r="BO123" i="7"/>
  <c r="BO122" i="7"/>
  <c r="BO121" i="7"/>
  <c r="BO120" i="7"/>
  <c r="BO119" i="7"/>
  <c r="BO118" i="7"/>
  <c r="BO117" i="7"/>
  <c r="BO116" i="7"/>
  <c r="BO115" i="7"/>
  <c r="BO114" i="7"/>
  <c r="BO113" i="7"/>
  <c r="BO112" i="7"/>
  <c r="BO111" i="7"/>
  <c r="BO110" i="7"/>
  <c r="BO109" i="7"/>
  <c r="BO108" i="7"/>
  <c r="BO107" i="7"/>
  <c r="BO106" i="7"/>
  <c r="BO105" i="7"/>
  <c r="BO104" i="7"/>
  <c r="BO103" i="7"/>
  <c r="BO102" i="7"/>
  <c r="BO101" i="7"/>
  <c r="BO100" i="7"/>
  <c r="BO99" i="7"/>
  <c r="BO98" i="7"/>
  <c r="BO97" i="7"/>
  <c r="BO96" i="7"/>
  <c r="BO95" i="7"/>
  <c r="BO94" i="7"/>
  <c r="BO93" i="7"/>
  <c r="BO92" i="7"/>
  <c r="BO91" i="7"/>
  <c r="BO90" i="7"/>
  <c r="BO89" i="7"/>
  <c r="BO88" i="7"/>
  <c r="BO87" i="7"/>
  <c r="BO86" i="7"/>
  <c r="BO83" i="7"/>
  <c r="BO85" i="7"/>
  <c r="BO84" i="7"/>
  <c r="BO81" i="7"/>
  <c r="BO80" i="7"/>
  <c r="BO79" i="7"/>
  <c r="BO78" i="7"/>
  <c r="BO77" i="7"/>
  <c r="BO76" i="7"/>
  <c r="BO75" i="7"/>
  <c r="BO74" i="7"/>
  <c r="BO73" i="7"/>
  <c r="BO72" i="7"/>
  <c r="BO71" i="7"/>
  <c r="BO70" i="7"/>
  <c r="BO69" i="7"/>
  <c r="AI130" i="9"/>
  <c r="AI129" i="9"/>
  <c r="AI128" i="9"/>
  <c r="AI127" i="9"/>
  <c r="AI126" i="9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3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H130" i="9"/>
  <c r="AH129" i="9"/>
  <c r="AH128" i="9"/>
  <c r="AH127" i="9"/>
  <c r="AH126" i="9"/>
  <c r="AH125" i="9"/>
  <c r="AH124" i="9"/>
  <c r="AH123" i="9"/>
  <c r="AH122" i="9"/>
  <c r="AH121" i="9"/>
  <c r="AH120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3" i="9"/>
  <c r="AH85" i="9"/>
  <c r="AH84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W70" i="9"/>
  <c r="CG111" i="4" l="1"/>
  <c r="AG109" i="6"/>
  <c r="AG128" i="6"/>
  <c r="AG128" i="1"/>
  <c r="AG109" i="1"/>
  <c r="AV109" i="2"/>
  <c r="BT109" i="11" s="1"/>
  <c r="BZ109" i="11" s="1"/>
  <c r="CB109" i="11" s="1"/>
  <c r="AG109" i="8"/>
  <c r="AM87" i="6"/>
  <c r="BQ109" i="4"/>
  <c r="BW109" i="4" s="1"/>
  <c r="BY109" i="4" s="1"/>
  <c r="CJ69" i="11"/>
  <c r="CJ71" i="11"/>
  <c r="CJ73" i="11"/>
  <c r="CJ75" i="11"/>
  <c r="CJ77" i="11"/>
  <c r="CJ79" i="11"/>
  <c r="CJ81" i="11"/>
  <c r="CJ85" i="11"/>
  <c r="CJ86" i="11"/>
  <c r="CJ88" i="11"/>
  <c r="CJ90" i="11"/>
  <c r="CJ92" i="11"/>
  <c r="CJ94" i="11"/>
  <c r="CJ96" i="11"/>
  <c r="CJ98" i="11"/>
  <c r="CJ100" i="11"/>
  <c r="CJ102" i="11"/>
  <c r="CJ104" i="11"/>
  <c r="CJ106" i="11"/>
  <c r="CJ108" i="11"/>
  <c r="CJ110" i="11"/>
  <c r="CJ112" i="11"/>
  <c r="CJ114" i="11"/>
  <c r="CJ116" i="11"/>
  <c r="CJ118" i="11"/>
  <c r="CJ120" i="11"/>
  <c r="CJ122" i="11"/>
  <c r="CJ124" i="11"/>
  <c r="CJ126" i="11"/>
  <c r="CJ128" i="11"/>
  <c r="CJ130" i="11"/>
  <c r="CJ70" i="11"/>
  <c r="CJ72" i="11"/>
  <c r="CJ74" i="11"/>
  <c r="CJ76" i="11"/>
  <c r="CJ78" i="11"/>
  <c r="CJ80" i="11"/>
  <c r="CJ84" i="11"/>
  <c r="CJ83" i="11"/>
  <c r="CJ87" i="11"/>
  <c r="CJ89" i="11"/>
  <c r="CJ91" i="11"/>
  <c r="CJ93" i="11"/>
  <c r="CJ95" i="11"/>
  <c r="CJ97" i="11"/>
  <c r="CJ99" i="11"/>
  <c r="CJ101" i="11"/>
  <c r="CJ103" i="11"/>
  <c r="CJ105" i="11"/>
  <c r="CJ107" i="11"/>
  <c r="CJ109" i="11"/>
  <c r="CJ111" i="11"/>
  <c r="CJ113" i="11"/>
  <c r="CJ115" i="11"/>
  <c r="CJ117" i="11"/>
  <c r="CJ119" i="11"/>
  <c r="CJ121" i="11"/>
  <c r="CJ123" i="11"/>
  <c r="CJ125" i="11"/>
  <c r="CJ127" i="11"/>
  <c r="CJ129" i="11"/>
  <c r="BC70" i="2"/>
  <c r="BC72" i="2"/>
  <c r="BC74" i="2"/>
  <c r="BC76" i="2"/>
  <c r="BC78" i="2"/>
  <c r="BC80" i="2"/>
  <c r="BC84" i="2"/>
  <c r="BC83" i="2"/>
  <c r="BC87" i="2"/>
  <c r="BC89" i="2"/>
  <c r="BC91" i="2"/>
  <c r="BC93" i="2"/>
  <c r="BC95" i="2"/>
  <c r="BC97" i="2"/>
  <c r="BC99" i="2"/>
  <c r="BC101" i="2"/>
  <c r="BC103" i="2"/>
  <c r="BC105" i="2"/>
  <c r="BC107" i="2"/>
  <c r="BC109" i="2"/>
  <c r="BC111" i="2"/>
  <c r="BC113" i="2"/>
  <c r="BC115" i="2"/>
  <c r="BC117" i="2"/>
  <c r="BC119" i="2"/>
  <c r="BC121" i="2"/>
  <c r="BC123" i="2"/>
  <c r="BC125" i="2"/>
  <c r="BC127" i="2"/>
  <c r="BC129" i="2"/>
  <c r="BC69" i="2"/>
  <c r="BC71" i="2"/>
  <c r="BC73" i="2"/>
  <c r="BC75" i="2"/>
  <c r="BC77" i="2"/>
  <c r="BC79" i="2"/>
  <c r="BC81" i="2"/>
  <c r="BC85" i="2"/>
  <c r="BC86" i="2"/>
  <c r="BC88" i="2"/>
  <c r="BC90" i="2"/>
  <c r="BC92" i="2"/>
  <c r="BC94" i="2"/>
  <c r="BC96" i="2"/>
  <c r="BC98" i="2"/>
  <c r="BC100" i="2"/>
  <c r="BC102" i="2"/>
  <c r="BC104" i="2"/>
  <c r="BC106" i="2"/>
  <c r="BC108" i="2"/>
  <c r="BC110" i="2"/>
  <c r="BC112" i="2"/>
  <c r="BC114" i="2"/>
  <c r="BC116" i="2"/>
  <c r="BC118" i="2"/>
  <c r="BC120" i="2"/>
  <c r="BC122" i="2"/>
  <c r="BC124" i="2"/>
  <c r="BC126" i="2"/>
  <c r="BC128" i="2"/>
  <c r="BC130" i="2"/>
  <c r="AM70" i="1"/>
  <c r="AM72" i="1"/>
  <c r="AM74" i="1"/>
  <c r="AM76" i="1"/>
  <c r="AM78" i="1"/>
  <c r="AM80" i="1"/>
  <c r="AM84" i="1"/>
  <c r="AM83" i="1"/>
  <c r="AM87" i="1"/>
  <c r="AM89" i="1"/>
  <c r="AM91" i="1"/>
  <c r="AM93" i="1"/>
  <c r="AM95" i="1"/>
  <c r="AM97" i="1"/>
  <c r="AM99" i="1"/>
  <c r="AM101" i="1"/>
  <c r="AM103" i="1"/>
  <c r="AM105" i="1"/>
  <c r="AM107" i="1"/>
  <c r="AM109" i="1"/>
  <c r="AM111" i="1"/>
  <c r="AM113" i="1"/>
  <c r="AM115" i="1"/>
  <c r="AM117" i="1"/>
  <c r="AM119" i="1"/>
  <c r="AM121" i="1"/>
  <c r="AM123" i="1"/>
  <c r="AM125" i="1"/>
  <c r="AM127" i="1"/>
  <c r="AM129" i="1"/>
  <c r="AM69" i="1"/>
  <c r="AM71" i="1"/>
  <c r="AM73" i="1"/>
  <c r="AM75" i="1"/>
  <c r="AM77" i="1"/>
  <c r="AM79" i="1"/>
  <c r="AM81" i="1"/>
  <c r="AM85" i="1"/>
  <c r="AM86" i="1"/>
  <c r="AM88" i="1"/>
  <c r="AM90" i="1"/>
  <c r="AM92" i="1"/>
  <c r="AM94" i="1"/>
  <c r="AM96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CG69" i="4"/>
  <c r="CG71" i="4"/>
  <c r="CG73" i="4"/>
  <c r="CG75" i="4"/>
  <c r="CG77" i="4"/>
  <c r="CG79" i="4"/>
  <c r="CG81" i="4"/>
  <c r="CG85" i="4"/>
  <c r="CG86" i="4"/>
  <c r="CG88" i="4"/>
  <c r="CG90" i="4"/>
  <c r="CG92" i="4"/>
  <c r="CG94" i="4"/>
  <c r="CG96" i="4"/>
  <c r="CG98" i="4"/>
  <c r="CG100" i="4"/>
  <c r="CG102" i="4"/>
  <c r="CG104" i="4"/>
  <c r="CG106" i="4"/>
  <c r="CG108" i="4"/>
  <c r="CG110" i="4"/>
  <c r="CG112" i="4"/>
  <c r="CG114" i="4"/>
  <c r="CG116" i="4"/>
  <c r="CG118" i="4"/>
  <c r="CG120" i="4"/>
  <c r="CG122" i="4"/>
  <c r="CG124" i="4"/>
  <c r="CG126" i="4"/>
  <c r="CG128" i="4"/>
  <c r="CG130" i="4"/>
  <c r="CG70" i="4"/>
  <c r="CG72" i="4"/>
  <c r="CG74" i="4"/>
  <c r="CG76" i="4"/>
  <c r="CG78" i="4"/>
  <c r="CG80" i="4"/>
  <c r="CG84" i="4"/>
  <c r="CG83" i="4"/>
  <c r="CG87" i="4"/>
  <c r="CG89" i="4"/>
  <c r="CG91" i="4"/>
  <c r="CG93" i="4"/>
  <c r="CG95" i="4"/>
  <c r="CG97" i="4"/>
  <c r="CG99" i="4"/>
  <c r="CG101" i="4"/>
  <c r="CG103" i="4"/>
  <c r="CG105" i="4"/>
  <c r="CG107" i="4"/>
  <c r="CG109" i="4"/>
  <c r="CG113" i="4"/>
  <c r="CG115" i="4"/>
  <c r="CG117" i="4"/>
  <c r="CG119" i="4"/>
  <c r="CG121" i="4"/>
  <c r="CG123" i="4"/>
  <c r="CG125" i="4"/>
  <c r="CG127" i="4"/>
  <c r="CG129" i="4"/>
  <c r="BE69" i="5"/>
  <c r="BE71" i="5"/>
  <c r="BE73" i="5"/>
  <c r="BE75" i="5"/>
  <c r="BE77" i="5"/>
  <c r="BE79" i="5"/>
  <c r="BE81" i="5"/>
  <c r="BE85" i="5"/>
  <c r="BE86" i="5"/>
  <c r="BE88" i="5"/>
  <c r="BE90" i="5"/>
  <c r="BE92" i="5"/>
  <c r="BE94" i="5"/>
  <c r="BE96" i="5"/>
  <c r="BE98" i="5"/>
  <c r="BE100" i="5"/>
  <c r="BE102" i="5"/>
  <c r="BE104" i="5"/>
  <c r="BE106" i="5"/>
  <c r="BE108" i="5"/>
  <c r="BE110" i="5"/>
  <c r="BE112" i="5"/>
  <c r="BE114" i="5"/>
  <c r="BE116" i="5"/>
  <c r="BE118" i="5"/>
  <c r="BE120" i="5"/>
  <c r="BE122" i="5"/>
  <c r="BE124" i="5"/>
  <c r="BE126" i="5"/>
  <c r="BE128" i="5"/>
  <c r="BE130" i="5"/>
  <c r="BE70" i="5"/>
  <c r="BE72" i="5"/>
  <c r="BE74" i="5"/>
  <c r="BE76" i="5"/>
  <c r="BE78" i="5"/>
  <c r="BE80" i="5"/>
  <c r="BE84" i="5"/>
  <c r="BE83" i="5"/>
  <c r="BE87" i="5"/>
  <c r="BE89" i="5"/>
  <c r="BE91" i="5"/>
  <c r="BE93" i="5"/>
  <c r="BE95" i="5"/>
  <c r="BE97" i="5"/>
  <c r="BE99" i="5"/>
  <c r="BE101" i="5"/>
  <c r="BE103" i="5"/>
  <c r="BE105" i="5"/>
  <c r="BE107" i="5"/>
  <c r="BE109" i="5"/>
  <c r="BE111" i="5"/>
  <c r="BE113" i="5"/>
  <c r="BE115" i="5"/>
  <c r="BE117" i="5"/>
  <c r="BE119" i="5"/>
  <c r="BE121" i="5"/>
  <c r="BE123" i="5"/>
  <c r="BE125" i="5"/>
  <c r="BE127" i="5"/>
  <c r="BE129" i="5"/>
  <c r="AM120" i="6"/>
  <c r="AM122" i="6"/>
  <c r="AM124" i="6"/>
  <c r="AM126" i="6"/>
  <c r="AM128" i="6"/>
  <c r="AM130" i="6"/>
  <c r="AM121" i="6"/>
  <c r="AM123" i="6"/>
  <c r="AM125" i="6"/>
  <c r="AM127" i="6"/>
  <c r="AM129" i="6"/>
  <c r="AM80" i="6"/>
  <c r="AM84" i="6"/>
  <c r="AM83" i="6"/>
  <c r="AM89" i="6"/>
  <c r="AM91" i="6"/>
  <c r="AM93" i="6"/>
  <c r="AM95" i="6"/>
  <c r="AM97" i="6"/>
  <c r="AM99" i="6"/>
  <c r="AM101" i="6"/>
  <c r="AM103" i="6"/>
  <c r="AM105" i="6"/>
  <c r="AM107" i="6"/>
  <c r="AM109" i="6"/>
  <c r="AM111" i="6"/>
  <c r="AM113" i="6"/>
  <c r="AM115" i="6"/>
  <c r="AM117" i="6"/>
  <c r="AM119" i="6"/>
  <c r="AM81" i="6"/>
  <c r="AM85" i="6"/>
  <c r="AM86" i="6"/>
  <c r="AM88" i="6"/>
  <c r="AM90" i="6"/>
  <c r="AM92" i="6"/>
  <c r="AM94" i="6"/>
  <c r="AM96" i="6"/>
  <c r="AM98" i="6"/>
  <c r="AM100" i="6"/>
  <c r="AM102" i="6"/>
  <c r="AM104" i="6"/>
  <c r="AM106" i="6"/>
  <c r="AM108" i="6"/>
  <c r="AM110" i="6"/>
  <c r="AM112" i="6"/>
  <c r="AM114" i="6"/>
  <c r="AM116" i="6"/>
  <c r="AM118" i="6"/>
  <c r="AM69" i="6"/>
  <c r="AM71" i="6"/>
  <c r="AM73" i="6"/>
  <c r="AM75" i="6"/>
  <c r="AM77" i="6"/>
  <c r="AM79" i="6"/>
  <c r="AM70" i="6"/>
  <c r="AM72" i="6"/>
  <c r="AM74" i="6"/>
  <c r="AM76" i="6"/>
  <c r="AM78" i="6"/>
  <c r="BQ70" i="7"/>
  <c r="BQ72" i="7"/>
  <c r="BQ74" i="7"/>
  <c r="BQ76" i="7"/>
  <c r="BQ78" i="7"/>
  <c r="BQ80" i="7"/>
  <c r="BQ84" i="7"/>
  <c r="BQ83" i="7"/>
  <c r="BQ87" i="7"/>
  <c r="BQ89" i="7"/>
  <c r="BQ91" i="7"/>
  <c r="BQ93" i="7"/>
  <c r="BQ95" i="7"/>
  <c r="BQ97" i="7"/>
  <c r="BQ99" i="7"/>
  <c r="BQ101" i="7"/>
  <c r="BQ103" i="7"/>
  <c r="BQ105" i="7"/>
  <c r="BQ107" i="7"/>
  <c r="BQ109" i="7"/>
  <c r="BQ111" i="7"/>
  <c r="BQ113" i="7"/>
  <c r="BQ115" i="7"/>
  <c r="BQ117" i="7"/>
  <c r="BQ119" i="7"/>
  <c r="BQ121" i="7"/>
  <c r="BQ123" i="7"/>
  <c r="BQ125" i="7"/>
  <c r="BQ127" i="7"/>
  <c r="BQ129" i="7"/>
  <c r="BQ69" i="7"/>
  <c r="BQ71" i="7"/>
  <c r="BQ73" i="7"/>
  <c r="BQ75" i="7"/>
  <c r="BQ77" i="7"/>
  <c r="BQ79" i="7"/>
  <c r="BQ81" i="7"/>
  <c r="BQ85" i="7"/>
  <c r="BQ86" i="7"/>
  <c r="BQ88" i="7"/>
  <c r="BQ90" i="7"/>
  <c r="BQ92" i="7"/>
  <c r="BQ94" i="7"/>
  <c r="BQ96" i="7"/>
  <c r="BQ98" i="7"/>
  <c r="BQ100" i="7"/>
  <c r="BQ102" i="7"/>
  <c r="BQ104" i="7"/>
  <c r="BQ106" i="7"/>
  <c r="BQ108" i="7"/>
  <c r="BQ110" i="7"/>
  <c r="BQ112" i="7"/>
  <c r="BQ114" i="7"/>
  <c r="BQ116" i="7"/>
  <c r="BQ118" i="7"/>
  <c r="BQ120" i="7"/>
  <c r="BQ122" i="7"/>
  <c r="BQ124" i="7"/>
  <c r="BQ126" i="7"/>
  <c r="BQ128" i="7"/>
  <c r="BQ130" i="7"/>
  <c r="AJ70" i="9"/>
  <c r="AJ72" i="9"/>
  <c r="AJ74" i="9"/>
  <c r="AJ76" i="9"/>
  <c r="AJ78" i="9"/>
  <c r="AJ80" i="9"/>
  <c r="AJ84" i="9"/>
  <c r="AJ83" i="9"/>
  <c r="AJ87" i="9"/>
  <c r="AJ89" i="9"/>
  <c r="AJ91" i="9"/>
  <c r="AJ93" i="9"/>
  <c r="AJ95" i="9"/>
  <c r="AJ97" i="9"/>
  <c r="AJ99" i="9"/>
  <c r="AJ101" i="9"/>
  <c r="AJ103" i="9"/>
  <c r="AJ105" i="9"/>
  <c r="AJ107" i="9"/>
  <c r="AJ109" i="9"/>
  <c r="AJ111" i="9"/>
  <c r="AJ113" i="9"/>
  <c r="AJ115" i="9"/>
  <c r="AJ117" i="9"/>
  <c r="AJ119" i="9"/>
  <c r="AJ121" i="9"/>
  <c r="AJ123" i="9"/>
  <c r="AJ125" i="9"/>
  <c r="AJ127" i="9"/>
  <c r="AJ129" i="9"/>
  <c r="AJ69" i="9"/>
  <c r="AJ71" i="9"/>
  <c r="AJ73" i="9"/>
  <c r="AJ75" i="9"/>
  <c r="AJ77" i="9"/>
  <c r="AJ79" i="9"/>
  <c r="AJ81" i="9"/>
  <c r="AJ85" i="9"/>
  <c r="AJ86" i="9"/>
  <c r="AJ88" i="9"/>
  <c r="AJ90" i="9"/>
  <c r="AJ92" i="9"/>
  <c r="AJ94" i="9"/>
  <c r="AJ96" i="9"/>
  <c r="AJ98" i="9"/>
  <c r="AJ100" i="9"/>
  <c r="AJ102" i="9"/>
  <c r="AJ104" i="9"/>
  <c r="AJ106" i="9"/>
  <c r="AJ108" i="9"/>
  <c r="AJ110" i="9"/>
  <c r="AJ112" i="9"/>
  <c r="AJ114" i="9"/>
  <c r="AJ116" i="9"/>
  <c r="AJ118" i="9"/>
  <c r="AJ120" i="9"/>
  <c r="AJ122" i="9"/>
  <c r="AJ124" i="9"/>
  <c r="AJ126" i="9"/>
  <c r="AJ128" i="9"/>
  <c r="AJ130" i="9"/>
  <c r="AE109" i="9"/>
  <c r="BE109" i="7"/>
  <c r="BI109" i="7" s="1"/>
  <c r="BK109" i="7" s="1"/>
  <c r="W128" i="2"/>
  <c r="AV128" i="2" s="1"/>
  <c r="BT128" i="11" s="1"/>
  <c r="BZ128" i="11" s="1"/>
  <c r="K129" i="1"/>
  <c r="O129" i="1"/>
  <c r="BC129" i="7"/>
  <c r="W129" i="2"/>
  <c r="W129" i="5"/>
  <c r="AG129" i="1" l="1"/>
  <c r="CB128" i="11"/>
  <c r="W108" i="10" l="1"/>
  <c r="S108" i="10"/>
  <c r="BE108" i="11"/>
  <c r="BR108" i="11" s="1"/>
  <c r="AT108" i="2"/>
  <c r="W108" i="2"/>
  <c r="O108" i="1"/>
  <c r="K108" i="1"/>
  <c r="BB108" i="4"/>
  <c r="BO108" i="4" s="1"/>
  <c r="AU108" i="5"/>
  <c r="O108" i="6"/>
  <c r="K108" i="6"/>
  <c r="BC108" i="7"/>
  <c r="AC108" i="8"/>
  <c r="M108" i="8"/>
  <c r="AC108" i="9"/>
  <c r="W108" i="9"/>
  <c r="M108" i="9"/>
  <c r="G108" i="9"/>
  <c r="AG108" i="6" l="1"/>
  <c r="AG108" i="1"/>
  <c r="AE108" i="9"/>
  <c r="W108" i="5"/>
  <c r="AW108" i="5" s="1"/>
  <c r="BQ108" i="4" s="1"/>
  <c r="AG108" i="8"/>
  <c r="BE108" i="7"/>
  <c r="BI108" i="7" s="1"/>
  <c r="BK108" i="7" s="1"/>
  <c r="AV108" i="2"/>
  <c r="BT108" i="11" s="1"/>
  <c r="BZ108" i="11" s="1"/>
  <c r="CB108" i="11" s="1"/>
  <c r="BW108" i="4" l="1"/>
  <c r="BY108" i="4" s="1"/>
  <c r="G69" i="9"/>
  <c r="G70" i="9"/>
  <c r="O69" i="1" l="1"/>
  <c r="O70" i="1"/>
  <c r="O71" i="1"/>
  <c r="O72" i="1"/>
  <c r="O73" i="1"/>
  <c r="O74" i="1"/>
  <c r="O75" i="1"/>
  <c r="O76" i="1"/>
  <c r="O77" i="1"/>
  <c r="O78" i="1"/>
  <c r="O79" i="1"/>
  <c r="O80" i="1"/>
  <c r="O81" i="1"/>
  <c r="O84" i="1"/>
  <c r="O85" i="1"/>
  <c r="O83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30" i="1"/>
  <c r="AT129" i="2" l="1"/>
  <c r="AV129" i="2" s="1"/>
  <c r="K129" i="6"/>
  <c r="W130" i="5"/>
  <c r="W114" i="5"/>
  <c r="K111" i="1"/>
  <c r="AG111" i="1" s="1"/>
  <c r="W116" i="5"/>
  <c r="W126" i="2"/>
  <c r="AC76" i="9"/>
  <c r="O79" i="6"/>
  <c r="K79" i="6"/>
  <c r="BB69" i="4"/>
  <c r="BO69" i="4" s="1"/>
  <c r="BB130" i="4"/>
  <c r="BO130" i="4" s="1"/>
  <c r="BB129" i="4"/>
  <c r="BO129" i="4" s="1"/>
  <c r="BB127" i="4"/>
  <c r="BO127" i="4" s="1"/>
  <c r="BB126" i="4"/>
  <c r="BO126" i="4" s="1"/>
  <c r="BB125" i="4"/>
  <c r="BO125" i="4" s="1"/>
  <c r="BB124" i="4"/>
  <c r="BO124" i="4" s="1"/>
  <c r="BB123" i="4"/>
  <c r="BO123" i="4" s="1"/>
  <c r="BB122" i="4"/>
  <c r="BO122" i="4" s="1"/>
  <c r="BB121" i="4"/>
  <c r="BO121" i="4" s="1"/>
  <c r="BB120" i="4"/>
  <c r="BO120" i="4" s="1"/>
  <c r="BB119" i="4"/>
  <c r="BO119" i="4" s="1"/>
  <c r="BB118" i="4"/>
  <c r="BB117" i="4"/>
  <c r="BO117" i="4" s="1"/>
  <c r="BB116" i="4"/>
  <c r="BO116" i="4" s="1"/>
  <c r="BB115" i="4"/>
  <c r="BO115" i="4" s="1"/>
  <c r="BB114" i="4"/>
  <c r="BO114" i="4" s="1"/>
  <c r="BB113" i="4"/>
  <c r="BO113" i="4" s="1"/>
  <c r="BB112" i="4"/>
  <c r="BO112" i="4" s="1"/>
  <c r="BB111" i="4"/>
  <c r="BO111" i="4" s="1"/>
  <c r="BB110" i="4"/>
  <c r="BO110" i="4" s="1"/>
  <c r="BB107" i="4"/>
  <c r="BO107" i="4" s="1"/>
  <c r="BB106" i="4"/>
  <c r="BO106" i="4" s="1"/>
  <c r="BB105" i="4"/>
  <c r="BO105" i="4" s="1"/>
  <c r="BB104" i="4"/>
  <c r="BO104" i="4" s="1"/>
  <c r="BB103" i="4"/>
  <c r="BO103" i="4" s="1"/>
  <c r="BB102" i="4"/>
  <c r="BO102" i="4" s="1"/>
  <c r="BB101" i="4"/>
  <c r="BO101" i="4" s="1"/>
  <c r="BB100" i="4"/>
  <c r="BO100" i="4" s="1"/>
  <c r="BB99" i="4"/>
  <c r="BO99" i="4" s="1"/>
  <c r="BB98" i="4"/>
  <c r="BO98" i="4" s="1"/>
  <c r="BB97" i="4"/>
  <c r="BO97" i="4" s="1"/>
  <c r="BB96" i="4"/>
  <c r="BO96" i="4" s="1"/>
  <c r="BB95" i="4"/>
  <c r="BO95" i="4" s="1"/>
  <c r="BB94" i="4"/>
  <c r="BO94" i="4" s="1"/>
  <c r="BB93" i="4"/>
  <c r="BO93" i="4" s="1"/>
  <c r="BB92" i="4"/>
  <c r="BO92" i="4" s="1"/>
  <c r="BB91" i="4"/>
  <c r="BO91" i="4" s="1"/>
  <c r="BB90" i="4"/>
  <c r="BO90" i="4" s="1"/>
  <c r="BB89" i="4"/>
  <c r="BO89" i="4" s="1"/>
  <c r="BB88" i="4"/>
  <c r="BO88" i="4" s="1"/>
  <c r="BB87" i="4"/>
  <c r="BO87" i="4" s="1"/>
  <c r="BB86" i="4"/>
  <c r="BO86" i="4" s="1"/>
  <c r="BB83" i="4"/>
  <c r="BO83" i="4" s="1"/>
  <c r="BB85" i="4"/>
  <c r="BO85" i="4" s="1"/>
  <c r="BB84" i="4"/>
  <c r="BO84" i="4" s="1"/>
  <c r="BB81" i="4"/>
  <c r="BO81" i="4" s="1"/>
  <c r="BB80" i="4"/>
  <c r="BO80" i="4" s="1"/>
  <c r="BB79" i="4"/>
  <c r="BO79" i="4" s="1"/>
  <c r="BB78" i="4"/>
  <c r="BO78" i="4" s="1"/>
  <c r="BB77" i="4"/>
  <c r="BO77" i="4" s="1"/>
  <c r="BB76" i="4"/>
  <c r="BO76" i="4" s="1"/>
  <c r="BB75" i="4"/>
  <c r="BO75" i="4" s="1"/>
  <c r="BB74" i="4"/>
  <c r="BO74" i="4" s="1"/>
  <c r="BB73" i="4"/>
  <c r="BO73" i="4" s="1"/>
  <c r="BB71" i="4"/>
  <c r="BO71" i="4" s="1"/>
  <c r="AC72" i="8"/>
  <c r="AC69" i="8"/>
  <c r="AC70" i="8"/>
  <c r="AC71" i="8"/>
  <c r="AG71" i="8" s="1"/>
  <c r="AC130" i="8"/>
  <c r="AC129" i="8"/>
  <c r="AC128" i="8"/>
  <c r="AC127" i="8"/>
  <c r="AC126" i="8"/>
  <c r="AC125" i="8"/>
  <c r="AC124" i="8"/>
  <c r="AC123" i="8"/>
  <c r="AC122" i="8"/>
  <c r="AC121" i="8"/>
  <c r="AC120" i="8"/>
  <c r="AC119" i="8"/>
  <c r="AC118" i="8"/>
  <c r="AC117" i="8"/>
  <c r="AC116" i="8"/>
  <c r="AC115" i="8"/>
  <c r="AC114" i="8"/>
  <c r="AC113" i="8"/>
  <c r="AG113" i="8" s="1"/>
  <c r="AC112" i="8"/>
  <c r="AC111" i="8"/>
  <c r="AG111" i="8" s="1"/>
  <c r="AC110" i="8"/>
  <c r="AC107" i="8"/>
  <c r="AC106" i="8"/>
  <c r="AC105" i="8"/>
  <c r="AC104" i="8"/>
  <c r="AC103" i="8"/>
  <c r="AG103" i="8" s="1"/>
  <c r="AC102" i="8"/>
  <c r="AC101" i="8"/>
  <c r="AC100" i="8"/>
  <c r="AC99" i="8"/>
  <c r="AC98" i="8"/>
  <c r="AC97" i="8"/>
  <c r="AG97" i="8" s="1"/>
  <c r="AC96" i="8"/>
  <c r="AC95" i="8"/>
  <c r="AC94" i="8"/>
  <c r="AC93" i="8"/>
  <c r="AC92" i="8"/>
  <c r="AC91" i="8"/>
  <c r="AC90" i="8"/>
  <c r="AC89" i="8"/>
  <c r="AC88" i="8"/>
  <c r="AC87" i="8"/>
  <c r="AC86" i="8"/>
  <c r="AC83" i="8"/>
  <c r="AC85" i="8"/>
  <c r="AC84" i="8"/>
  <c r="AC81" i="8"/>
  <c r="AC80" i="8"/>
  <c r="AG80" i="8" s="1"/>
  <c r="AC79" i="8"/>
  <c r="AC78" i="8"/>
  <c r="AC77" i="8"/>
  <c r="AC76" i="8"/>
  <c r="AC75" i="8"/>
  <c r="AC74" i="8"/>
  <c r="AC73" i="8"/>
  <c r="BB136" i="4"/>
  <c r="BO118" i="4"/>
  <c r="BB72" i="4"/>
  <c r="BO72" i="4" s="1"/>
  <c r="BB70" i="4"/>
  <c r="BO70" i="4" s="1"/>
  <c r="AU85" i="5"/>
  <c r="W85" i="5"/>
  <c r="BC85" i="7"/>
  <c r="BC83" i="7"/>
  <c r="M83" i="8"/>
  <c r="O81" i="6"/>
  <c r="W83" i="5"/>
  <c r="AU83" i="5"/>
  <c r="W84" i="5"/>
  <c r="AU84" i="5"/>
  <c r="W81" i="5"/>
  <c r="AU81" i="5"/>
  <c r="AU80" i="5"/>
  <c r="W80" i="5"/>
  <c r="K80" i="6"/>
  <c r="O80" i="6"/>
  <c r="BE127" i="11"/>
  <c r="BR127" i="11" s="1"/>
  <c r="W127" i="2"/>
  <c r="AV127" i="2" s="1"/>
  <c r="BE126" i="11"/>
  <c r="BR126" i="11" s="1"/>
  <c r="AT126" i="2"/>
  <c r="AU128" i="5"/>
  <c r="W128" i="5"/>
  <c r="W96" i="10"/>
  <c r="S96" i="10"/>
  <c r="BE96" i="11"/>
  <c r="BR96" i="11" s="1"/>
  <c r="AT96" i="2"/>
  <c r="W96" i="2"/>
  <c r="W97" i="2"/>
  <c r="AU96" i="5"/>
  <c r="W96" i="5"/>
  <c r="K96" i="1"/>
  <c r="AG96" i="1" s="1"/>
  <c r="K96" i="6"/>
  <c r="O96" i="6"/>
  <c r="BC96" i="7"/>
  <c r="M96" i="8"/>
  <c r="G96" i="9"/>
  <c r="M96" i="9"/>
  <c r="W96" i="9"/>
  <c r="AC96" i="9"/>
  <c r="BE97" i="11"/>
  <c r="BR97" i="11" s="1"/>
  <c r="BE95" i="11"/>
  <c r="BR95" i="11" s="1"/>
  <c r="AU97" i="5"/>
  <c r="W97" i="5"/>
  <c r="BC95" i="7"/>
  <c r="BC97" i="7"/>
  <c r="M97" i="8"/>
  <c r="M95" i="9"/>
  <c r="AU94" i="5"/>
  <c r="W94" i="5"/>
  <c r="AT95" i="2"/>
  <c r="W95" i="2"/>
  <c r="BC93" i="7"/>
  <c r="W121" i="10"/>
  <c r="S121" i="10"/>
  <c r="BE121" i="11"/>
  <c r="BR121" i="11" s="1"/>
  <c r="AT121" i="2"/>
  <c r="W121" i="2"/>
  <c r="AU121" i="5"/>
  <c r="W121" i="5"/>
  <c r="K121" i="1"/>
  <c r="AG121" i="1" s="1"/>
  <c r="O121" i="6"/>
  <c r="BC121" i="7"/>
  <c r="M121" i="8"/>
  <c r="G121" i="9"/>
  <c r="M121" i="9"/>
  <c r="W121" i="9"/>
  <c r="AC121" i="9"/>
  <c r="BE119" i="11"/>
  <c r="BR119" i="11" s="1"/>
  <c r="AU118" i="5"/>
  <c r="W118" i="5"/>
  <c r="W127" i="5"/>
  <c r="AU127" i="5"/>
  <c r="AU126" i="5"/>
  <c r="W126" i="5"/>
  <c r="AU125" i="5"/>
  <c r="W125" i="5"/>
  <c r="AU124" i="5"/>
  <c r="W124" i="5"/>
  <c r="W123" i="5"/>
  <c r="AU123" i="5"/>
  <c r="W122" i="5"/>
  <c r="AU122" i="5"/>
  <c r="W120" i="5"/>
  <c r="AU120" i="5"/>
  <c r="W119" i="5"/>
  <c r="AU119" i="5"/>
  <c r="W117" i="5"/>
  <c r="AU117" i="5"/>
  <c r="AU116" i="5"/>
  <c r="AU114" i="5"/>
  <c r="AU113" i="5"/>
  <c r="W113" i="5"/>
  <c r="BE106" i="11"/>
  <c r="BR106" i="11" s="1"/>
  <c r="W106" i="2"/>
  <c r="W105" i="10"/>
  <c r="S105" i="10"/>
  <c r="BE105" i="11"/>
  <c r="BR105" i="11" s="1"/>
  <c r="AT105" i="2"/>
  <c r="W105" i="2"/>
  <c r="AU105" i="5"/>
  <c r="W105" i="5"/>
  <c r="K105" i="1"/>
  <c r="AG105" i="1" s="1"/>
  <c r="K105" i="6"/>
  <c r="O105" i="6"/>
  <c r="BC105" i="7"/>
  <c r="M105" i="8"/>
  <c r="G105" i="9"/>
  <c r="M105" i="9"/>
  <c r="W105" i="9"/>
  <c r="AC105" i="9"/>
  <c r="AU103" i="5"/>
  <c r="W103" i="5"/>
  <c r="W103" i="9"/>
  <c r="AU104" i="5"/>
  <c r="W104" i="5"/>
  <c r="AU102" i="5"/>
  <c r="W102" i="5"/>
  <c r="BE90" i="11"/>
  <c r="BR90" i="11" s="1"/>
  <c r="BE89" i="11"/>
  <c r="BR89" i="11" s="1"/>
  <c r="BE88" i="11"/>
  <c r="BR88" i="11" s="1"/>
  <c r="AT88" i="2"/>
  <c r="W88" i="2"/>
  <c r="W93" i="5"/>
  <c r="AU93" i="5"/>
  <c r="W92" i="5"/>
  <c r="AU92" i="5"/>
  <c r="W91" i="5"/>
  <c r="AU91" i="5"/>
  <c r="W90" i="5"/>
  <c r="AU90" i="5"/>
  <c r="W89" i="5"/>
  <c r="AU89" i="5"/>
  <c r="AU88" i="5"/>
  <c r="W88" i="5"/>
  <c r="BE87" i="11"/>
  <c r="BR87" i="11" s="1"/>
  <c r="AU87" i="5"/>
  <c r="W87" i="5"/>
  <c r="AU86" i="5"/>
  <c r="W86" i="5"/>
  <c r="W72" i="9"/>
  <c r="W72" i="10"/>
  <c r="S72" i="10"/>
  <c r="BE72" i="11"/>
  <c r="BR72" i="11" s="1"/>
  <c r="W72" i="2"/>
  <c r="AT72" i="2"/>
  <c r="K72" i="1"/>
  <c r="AG72" i="1" s="1"/>
  <c r="W72" i="5"/>
  <c r="AU72" i="5"/>
  <c r="K72" i="6"/>
  <c r="O72" i="6"/>
  <c r="BC72" i="7"/>
  <c r="M72" i="8"/>
  <c r="G72" i="9"/>
  <c r="M72" i="9"/>
  <c r="AC72" i="9"/>
  <c r="K71" i="1"/>
  <c r="AG71" i="1" s="1"/>
  <c r="W70" i="5"/>
  <c r="W70" i="10"/>
  <c r="BE70" i="11"/>
  <c r="BR70" i="11" s="1"/>
  <c r="W70" i="2"/>
  <c r="AT70" i="2"/>
  <c r="K70" i="1"/>
  <c r="AG70" i="1" s="1"/>
  <c r="AU70" i="5"/>
  <c r="K70" i="6"/>
  <c r="O70" i="6"/>
  <c r="BC70" i="7"/>
  <c r="M70" i="8"/>
  <c r="AG70" i="8" s="1"/>
  <c r="M70" i="9"/>
  <c r="AE70" i="9" s="1"/>
  <c r="AC70" i="9"/>
  <c r="AU130" i="5"/>
  <c r="AU129" i="5"/>
  <c r="AU112" i="5"/>
  <c r="W112" i="5"/>
  <c r="AU111" i="5"/>
  <c r="W111" i="5"/>
  <c r="W111" i="9"/>
  <c r="AE111" i="9" s="1"/>
  <c r="AU106" i="5"/>
  <c r="W106" i="5"/>
  <c r="AU107" i="5"/>
  <c r="W107" i="5"/>
  <c r="AU110" i="5"/>
  <c r="W110" i="5"/>
  <c r="G113" i="9"/>
  <c r="AE113" i="9" s="1"/>
  <c r="M113" i="9"/>
  <c r="W113" i="9"/>
  <c r="G112" i="9"/>
  <c r="M112" i="9"/>
  <c r="W112" i="9"/>
  <c r="G111" i="9"/>
  <c r="M111" i="9"/>
  <c r="G110" i="9"/>
  <c r="M110" i="9"/>
  <c r="W110" i="9"/>
  <c r="AC110" i="9"/>
  <c r="BE79" i="11"/>
  <c r="BR79" i="11" s="1"/>
  <c r="AT79" i="2"/>
  <c r="AT78" i="2"/>
  <c r="AU78" i="5"/>
  <c r="W78" i="5"/>
  <c r="K78" i="6"/>
  <c r="W76" i="9"/>
  <c r="AU101" i="5"/>
  <c r="W101" i="5"/>
  <c r="AU100" i="5"/>
  <c r="W100" i="5"/>
  <c r="AU99" i="5"/>
  <c r="W99" i="5"/>
  <c r="AU98" i="5"/>
  <c r="W98" i="5"/>
  <c r="AU95" i="5"/>
  <c r="W95" i="5"/>
  <c r="M95" i="8"/>
  <c r="W130" i="10"/>
  <c r="S130" i="10"/>
  <c r="W129" i="10"/>
  <c r="S129" i="10"/>
  <c r="W128" i="10"/>
  <c r="S128" i="10"/>
  <c r="W127" i="10"/>
  <c r="S127" i="10"/>
  <c r="W126" i="10"/>
  <c r="S126" i="10"/>
  <c r="W125" i="10"/>
  <c r="S125" i="10"/>
  <c r="W124" i="10"/>
  <c r="S124" i="10"/>
  <c r="W123" i="10"/>
  <c r="S123" i="10"/>
  <c r="W122" i="10"/>
  <c r="S122" i="10"/>
  <c r="W120" i="10"/>
  <c r="S120" i="10"/>
  <c r="W119" i="10"/>
  <c r="S119" i="10"/>
  <c r="W118" i="10"/>
  <c r="S118" i="10"/>
  <c r="W117" i="10"/>
  <c r="S117" i="10"/>
  <c r="W116" i="10"/>
  <c r="S116" i="10"/>
  <c r="W115" i="10"/>
  <c r="S115" i="10"/>
  <c r="W114" i="10"/>
  <c r="S114" i="10"/>
  <c r="W113" i="10"/>
  <c r="S113" i="10"/>
  <c r="W112" i="10"/>
  <c r="S112" i="10"/>
  <c r="W111" i="10"/>
  <c r="S111" i="10"/>
  <c r="W110" i="10"/>
  <c r="S110" i="10"/>
  <c r="W107" i="10"/>
  <c r="S107" i="10"/>
  <c r="W106" i="10"/>
  <c r="S106" i="10"/>
  <c r="W104" i="10"/>
  <c r="S104" i="10"/>
  <c r="W103" i="10"/>
  <c r="S103" i="10"/>
  <c r="W102" i="10"/>
  <c r="S102" i="10"/>
  <c r="W101" i="10"/>
  <c r="S101" i="10"/>
  <c r="W100" i="10"/>
  <c r="S100" i="10"/>
  <c r="W99" i="10"/>
  <c r="S99" i="10"/>
  <c r="W98" i="10"/>
  <c r="S98" i="10"/>
  <c r="W97" i="10"/>
  <c r="S97" i="10"/>
  <c r="W95" i="10"/>
  <c r="S95" i="10"/>
  <c r="W94" i="10"/>
  <c r="S94" i="10"/>
  <c r="W93" i="10"/>
  <c r="S93" i="10"/>
  <c r="W92" i="10"/>
  <c r="S92" i="10"/>
  <c r="W91" i="10"/>
  <c r="S91" i="10"/>
  <c r="W90" i="10"/>
  <c r="S90" i="10"/>
  <c r="W89" i="10"/>
  <c r="S89" i="10"/>
  <c r="W88" i="10"/>
  <c r="S88" i="10"/>
  <c r="W87" i="10"/>
  <c r="S87" i="10"/>
  <c r="W86" i="10"/>
  <c r="S86" i="10"/>
  <c r="W83" i="10"/>
  <c r="S83" i="10"/>
  <c r="W85" i="10"/>
  <c r="S85" i="10"/>
  <c r="W84" i="10"/>
  <c r="S84" i="10"/>
  <c r="W81" i="10"/>
  <c r="S81" i="10"/>
  <c r="W80" i="10"/>
  <c r="S80" i="10"/>
  <c r="W79" i="10"/>
  <c r="S79" i="10"/>
  <c r="W78" i="10"/>
  <c r="S78" i="10"/>
  <c r="W77" i="10"/>
  <c r="S77" i="10"/>
  <c r="W76" i="10"/>
  <c r="S76" i="10"/>
  <c r="W75" i="10"/>
  <c r="S75" i="10"/>
  <c r="W74" i="10"/>
  <c r="S74" i="10"/>
  <c r="BE130" i="11"/>
  <c r="BR130" i="11" s="1"/>
  <c r="AT130" i="2"/>
  <c r="W130" i="2"/>
  <c r="BE129" i="11"/>
  <c r="BR129" i="11" s="1"/>
  <c r="BE125" i="11"/>
  <c r="BR125" i="11" s="1"/>
  <c r="AT125" i="2"/>
  <c r="W125" i="2"/>
  <c r="BE124" i="11"/>
  <c r="BR124" i="11" s="1"/>
  <c r="AT124" i="2"/>
  <c r="W124" i="2"/>
  <c r="BE123" i="11"/>
  <c r="BR123" i="11" s="1"/>
  <c r="AT123" i="2"/>
  <c r="W123" i="2"/>
  <c r="BE122" i="11"/>
  <c r="BR122" i="11" s="1"/>
  <c r="AT122" i="2"/>
  <c r="W122" i="2"/>
  <c r="BE120" i="11"/>
  <c r="BR120" i="11" s="1"/>
  <c r="AT120" i="2"/>
  <c r="W120" i="2"/>
  <c r="AT119" i="2"/>
  <c r="W119" i="2"/>
  <c r="BE118" i="11"/>
  <c r="BR118" i="11" s="1"/>
  <c r="AT118" i="2"/>
  <c r="W118" i="2"/>
  <c r="BE117" i="11"/>
  <c r="BR117" i="11" s="1"/>
  <c r="AT117" i="2"/>
  <c r="W117" i="2"/>
  <c r="BE116" i="11"/>
  <c r="BR116" i="11" s="1"/>
  <c r="AT116" i="2"/>
  <c r="W116" i="2"/>
  <c r="BE115" i="11"/>
  <c r="BR115" i="11" s="1"/>
  <c r="AT115" i="2"/>
  <c r="W115" i="2"/>
  <c r="BE114" i="11"/>
  <c r="BR114" i="11" s="1"/>
  <c r="AT114" i="2"/>
  <c r="W114" i="2"/>
  <c r="BE113" i="11"/>
  <c r="BR113" i="11" s="1"/>
  <c r="AT113" i="2"/>
  <c r="W113" i="2"/>
  <c r="BE112" i="11"/>
  <c r="BR112" i="11" s="1"/>
  <c r="AT112" i="2"/>
  <c r="W112" i="2"/>
  <c r="BE111" i="11"/>
  <c r="BR111" i="11" s="1"/>
  <c r="AT111" i="2"/>
  <c r="W111" i="2"/>
  <c r="BE110" i="11"/>
  <c r="BR110" i="11" s="1"/>
  <c r="AT110" i="2"/>
  <c r="W110" i="2"/>
  <c r="BE107" i="11"/>
  <c r="BR107" i="11" s="1"/>
  <c r="AT107" i="2"/>
  <c r="W107" i="2"/>
  <c r="AT106" i="2"/>
  <c r="BE104" i="11"/>
  <c r="BR104" i="11" s="1"/>
  <c r="AT104" i="2"/>
  <c r="W104" i="2"/>
  <c r="BE103" i="11"/>
  <c r="BR103" i="11" s="1"/>
  <c r="AT103" i="2"/>
  <c r="W103" i="2"/>
  <c r="BE102" i="11"/>
  <c r="BR102" i="11" s="1"/>
  <c r="AT102" i="2"/>
  <c r="W102" i="2"/>
  <c r="BE101" i="11"/>
  <c r="BR101" i="11" s="1"/>
  <c r="AT101" i="2"/>
  <c r="W101" i="2"/>
  <c r="BE100" i="11"/>
  <c r="BR100" i="11" s="1"/>
  <c r="AT100" i="2"/>
  <c r="W100" i="2"/>
  <c r="BE99" i="11"/>
  <c r="BR99" i="11" s="1"/>
  <c r="AT99" i="2"/>
  <c r="W99" i="2"/>
  <c r="BE98" i="11"/>
  <c r="BR98" i="11" s="1"/>
  <c r="AT98" i="2"/>
  <c r="W98" i="2"/>
  <c r="AT97" i="2"/>
  <c r="AV97" i="2" s="1"/>
  <c r="BE94" i="11"/>
  <c r="BR94" i="11" s="1"/>
  <c r="AT94" i="2"/>
  <c r="W94" i="2"/>
  <c r="BE93" i="11"/>
  <c r="BR93" i="11" s="1"/>
  <c r="AT93" i="2"/>
  <c r="W93" i="2"/>
  <c r="BE92" i="11"/>
  <c r="BR92" i="11" s="1"/>
  <c r="AT92" i="2"/>
  <c r="W92" i="2"/>
  <c r="BE91" i="11"/>
  <c r="BR91" i="11" s="1"/>
  <c r="AT91" i="2"/>
  <c r="W91" i="2"/>
  <c r="AT90" i="2"/>
  <c r="W90" i="2"/>
  <c r="AT89" i="2"/>
  <c r="W89" i="2"/>
  <c r="AT87" i="2"/>
  <c r="W87" i="2"/>
  <c r="BE86" i="11"/>
  <c r="BR86" i="11" s="1"/>
  <c r="AT86" i="2"/>
  <c r="W86" i="2"/>
  <c r="BE83" i="11"/>
  <c r="BR83" i="11" s="1"/>
  <c r="AT83" i="2"/>
  <c r="W83" i="2"/>
  <c r="BE85" i="11"/>
  <c r="BR85" i="11" s="1"/>
  <c r="AT85" i="2"/>
  <c r="W85" i="2"/>
  <c r="BE84" i="11"/>
  <c r="BR84" i="11" s="1"/>
  <c r="AT84" i="2"/>
  <c r="W84" i="2"/>
  <c r="BE81" i="11"/>
  <c r="BR81" i="11" s="1"/>
  <c r="AT81" i="2"/>
  <c r="W81" i="2"/>
  <c r="BE80" i="11"/>
  <c r="BR80" i="11" s="1"/>
  <c r="AT80" i="2"/>
  <c r="W80" i="2"/>
  <c r="BE78" i="11"/>
  <c r="BR78" i="11" s="1"/>
  <c r="BE77" i="11"/>
  <c r="BR77" i="11" s="1"/>
  <c r="AT77" i="2"/>
  <c r="AV77" i="2" s="1"/>
  <c r="BE76" i="11"/>
  <c r="BR76" i="11" s="1"/>
  <c r="AT76" i="2"/>
  <c r="AV76" i="2" s="1"/>
  <c r="BE75" i="11"/>
  <c r="BR75" i="11" s="1"/>
  <c r="AT75" i="2"/>
  <c r="BE74" i="11"/>
  <c r="BR74" i="11" s="1"/>
  <c r="AT74" i="2"/>
  <c r="W74" i="2"/>
  <c r="K130" i="1"/>
  <c r="AG130" i="1" s="1"/>
  <c r="K127" i="1"/>
  <c r="AG127" i="1" s="1"/>
  <c r="K126" i="1"/>
  <c r="AG126" i="1" s="1"/>
  <c r="K125" i="1"/>
  <c r="AG125" i="1" s="1"/>
  <c r="K124" i="1"/>
  <c r="AG124" i="1" s="1"/>
  <c r="K123" i="1"/>
  <c r="AG123" i="1" s="1"/>
  <c r="K122" i="1"/>
  <c r="AG122" i="1" s="1"/>
  <c r="K120" i="1"/>
  <c r="AG120" i="1" s="1"/>
  <c r="K119" i="1"/>
  <c r="AG119" i="1" s="1"/>
  <c r="K118" i="1"/>
  <c r="AG118" i="1" s="1"/>
  <c r="K117" i="1"/>
  <c r="AG117" i="1" s="1"/>
  <c r="K116" i="1"/>
  <c r="AG116" i="1" s="1"/>
  <c r="K115" i="1"/>
  <c r="AG115" i="1" s="1"/>
  <c r="K114" i="1"/>
  <c r="AG114" i="1" s="1"/>
  <c r="K113" i="1"/>
  <c r="AG113" i="1" s="1"/>
  <c r="K112" i="1"/>
  <c r="AG112" i="1" s="1"/>
  <c r="K110" i="1"/>
  <c r="AG110" i="1" s="1"/>
  <c r="K107" i="1"/>
  <c r="AG107" i="1" s="1"/>
  <c r="K106" i="1"/>
  <c r="AG106" i="1" s="1"/>
  <c r="K104" i="1"/>
  <c r="AG104" i="1" s="1"/>
  <c r="K103" i="1"/>
  <c r="AG103" i="1" s="1"/>
  <c r="K102" i="1"/>
  <c r="AG102" i="1" s="1"/>
  <c r="K101" i="1"/>
  <c r="AG101" i="1" s="1"/>
  <c r="K100" i="1"/>
  <c r="AG100" i="1" s="1"/>
  <c r="K99" i="1"/>
  <c r="AG99" i="1" s="1"/>
  <c r="K98" i="1"/>
  <c r="AG98" i="1" s="1"/>
  <c r="K97" i="1"/>
  <c r="AG97" i="1" s="1"/>
  <c r="K95" i="1"/>
  <c r="AG95" i="1" s="1"/>
  <c r="K94" i="1"/>
  <c r="AG94" i="1" s="1"/>
  <c r="K93" i="1"/>
  <c r="AG93" i="1" s="1"/>
  <c r="K92" i="1"/>
  <c r="AG92" i="1" s="1"/>
  <c r="K91" i="1"/>
  <c r="AG91" i="1" s="1"/>
  <c r="K90" i="1"/>
  <c r="AG90" i="1" s="1"/>
  <c r="K89" i="1"/>
  <c r="AG89" i="1" s="1"/>
  <c r="K88" i="1"/>
  <c r="AG88" i="1" s="1"/>
  <c r="K87" i="1"/>
  <c r="AG87" i="1" s="1"/>
  <c r="K86" i="1"/>
  <c r="AG86" i="1" s="1"/>
  <c r="K83" i="1"/>
  <c r="AG83" i="1" s="1"/>
  <c r="K85" i="1"/>
  <c r="AG85" i="1" s="1"/>
  <c r="K84" i="1"/>
  <c r="AG84" i="1" s="1"/>
  <c r="K81" i="1"/>
  <c r="AG81" i="1" s="1"/>
  <c r="K80" i="1"/>
  <c r="AG80" i="1" s="1"/>
  <c r="K79" i="1"/>
  <c r="AG79" i="1" s="1"/>
  <c r="K78" i="1"/>
  <c r="AG78" i="1" s="1"/>
  <c r="K77" i="1"/>
  <c r="AG77" i="1" s="1"/>
  <c r="K76" i="1"/>
  <c r="AG76" i="1" s="1"/>
  <c r="K75" i="1"/>
  <c r="AG75" i="1" s="1"/>
  <c r="K74" i="1"/>
  <c r="AG74" i="1" s="1"/>
  <c r="AU115" i="5"/>
  <c r="W115" i="5"/>
  <c r="AU79" i="5"/>
  <c r="W79" i="5"/>
  <c r="AU77" i="5"/>
  <c r="W77" i="5"/>
  <c r="AU76" i="5"/>
  <c r="W76" i="5"/>
  <c r="W75" i="5"/>
  <c r="AU75" i="5"/>
  <c r="AU74" i="5"/>
  <c r="W74" i="5"/>
  <c r="K130" i="6"/>
  <c r="O130" i="6"/>
  <c r="O129" i="6"/>
  <c r="K127" i="6"/>
  <c r="O127" i="6"/>
  <c r="K126" i="6"/>
  <c r="O126" i="6"/>
  <c r="K125" i="6"/>
  <c r="O125" i="6"/>
  <c r="K124" i="6"/>
  <c r="O124" i="6"/>
  <c r="K123" i="6"/>
  <c r="O123" i="6"/>
  <c r="K122" i="6"/>
  <c r="O122" i="6"/>
  <c r="K120" i="6"/>
  <c r="O120" i="6"/>
  <c r="K119" i="6"/>
  <c r="O119" i="6"/>
  <c r="K118" i="6"/>
  <c r="O118" i="6"/>
  <c r="K117" i="6"/>
  <c r="O117" i="6"/>
  <c r="K116" i="6"/>
  <c r="O116" i="6"/>
  <c r="K115" i="6"/>
  <c r="O115" i="6"/>
  <c r="K114" i="6"/>
  <c r="O114" i="6"/>
  <c r="K113" i="6"/>
  <c r="O113" i="6"/>
  <c r="K112" i="6"/>
  <c r="O112" i="6"/>
  <c r="K111" i="6"/>
  <c r="O111" i="6"/>
  <c r="K110" i="6"/>
  <c r="O110" i="6"/>
  <c r="K107" i="6"/>
  <c r="O107" i="6"/>
  <c r="K106" i="6"/>
  <c r="O106" i="6"/>
  <c r="K104" i="6"/>
  <c r="O104" i="6"/>
  <c r="K103" i="6"/>
  <c r="O103" i="6"/>
  <c r="K102" i="6"/>
  <c r="O102" i="6"/>
  <c r="K101" i="6"/>
  <c r="O101" i="6"/>
  <c r="K100" i="6"/>
  <c r="O100" i="6"/>
  <c r="K99" i="6"/>
  <c r="O99" i="6"/>
  <c r="K98" i="6"/>
  <c r="O98" i="6"/>
  <c r="K97" i="6"/>
  <c r="O97" i="6"/>
  <c r="K95" i="6"/>
  <c r="O95" i="6"/>
  <c r="K94" i="6"/>
  <c r="O94" i="6"/>
  <c r="K93" i="6"/>
  <c r="O93" i="6"/>
  <c r="K92" i="6"/>
  <c r="O92" i="6"/>
  <c r="K91" i="6"/>
  <c r="O91" i="6"/>
  <c r="K90" i="6"/>
  <c r="O90" i="6"/>
  <c r="K89" i="6"/>
  <c r="O89" i="6"/>
  <c r="K88" i="6"/>
  <c r="O88" i="6"/>
  <c r="K87" i="6"/>
  <c r="O87" i="6"/>
  <c r="K86" i="6"/>
  <c r="O86" i="6"/>
  <c r="K83" i="6"/>
  <c r="O83" i="6"/>
  <c r="K85" i="6"/>
  <c r="O85" i="6"/>
  <c r="K84" i="6"/>
  <c r="O84" i="6"/>
  <c r="K81" i="6"/>
  <c r="AG81" i="6" s="1"/>
  <c r="O78" i="6"/>
  <c r="K77" i="6"/>
  <c r="O77" i="6"/>
  <c r="K76" i="6"/>
  <c r="O76" i="6"/>
  <c r="K75" i="6"/>
  <c r="O75" i="6"/>
  <c r="K74" i="6"/>
  <c r="O74" i="6"/>
  <c r="BC130" i="7"/>
  <c r="M130" i="8"/>
  <c r="AG130" i="8" s="1"/>
  <c r="M129" i="8"/>
  <c r="BC128" i="7"/>
  <c r="M128" i="8"/>
  <c r="AG128" i="8" s="1"/>
  <c r="BC127" i="7"/>
  <c r="M127" i="8"/>
  <c r="BC126" i="7"/>
  <c r="M126" i="8"/>
  <c r="BC125" i="7"/>
  <c r="M125" i="8"/>
  <c r="BC124" i="7"/>
  <c r="M124" i="8"/>
  <c r="BC123" i="7"/>
  <c r="M123" i="8"/>
  <c r="BC122" i="7"/>
  <c r="M122" i="8"/>
  <c r="BC120" i="7"/>
  <c r="M120" i="8"/>
  <c r="AG120" i="8" s="1"/>
  <c r="BC119" i="7"/>
  <c r="M119" i="8"/>
  <c r="BC118" i="7"/>
  <c r="M118" i="8"/>
  <c r="BC117" i="7"/>
  <c r="M117" i="8"/>
  <c r="BC116" i="7"/>
  <c r="M116" i="8"/>
  <c r="BC115" i="7"/>
  <c r="M115" i="8"/>
  <c r="BC114" i="7"/>
  <c r="M114" i="8"/>
  <c r="AG114" i="8" s="1"/>
  <c r="BC113" i="7"/>
  <c r="M113" i="8"/>
  <c r="BC112" i="7"/>
  <c r="M112" i="8"/>
  <c r="AG112" i="8" s="1"/>
  <c r="BC111" i="7"/>
  <c r="M111" i="8"/>
  <c r="BC110" i="7"/>
  <c r="M110" i="8"/>
  <c r="BC107" i="7"/>
  <c r="M107" i="8"/>
  <c r="BC106" i="7"/>
  <c r="M106" i="8"/>
  <c r="BC104" i="7"/>
  <c r="M104" i="8"/>
  <c r="BC103" i="7"/>
  <c r="M103" i="8"/>
  <c r="BC102" i="7"/>
  <c r="M102" i="8"/>
  <c r="BC101" i="7"/>
  <c r="M101" i="8"/>
  <c r="BC100" i="7"/>
  <c r="M100" i="8"/>
  <c r="BC99" i="7"/>
  <c r="M99" i="8"/>
  <c r="BC98" i="7"/>
  <c r="M98" i="8"/>
  <c r="BC94" i="7"/>
  <c r="M94" i="8"/>
  <c r="AG94" i="8" s="1"/>
  <c r="M93" i="8"/>
  <c r="BC92" i="7"/>
  <c r="M92" i="8"/>
  <c r="AG92" i="8" s="1"/>
  <c r="BC91" i="7"/>
  <c r="M91" i="8"/>
  <c r="BC90" i="7"/>
  <c r="M90" i="8"/>
  <c r="AG90" i="8" s="1"/>
  <c r="BC89" i="7"/>
  <c r="M89" i="8"/>
  <c r="AG89" i="8" s="1"/>
  <c r="BC88" i="7"/>
  <c r="M88" i="8"/>
  <c r="BC87" i="7"/>
  <c r="M87" i="8"/>
  <c r="AG87" i="8" s="1"/>
  <c r="BC86" i="7"/>
  <c r="M86" i="8"/>
  <c r="AG86" i="8" s="1"/>
  <c r="M85" i="8"/>
  <c r="AG85" i="8" s="1"/>
  <c r="BC84" i="7"/>
  <c r="M84" i="8"/>
  <c r="BC81" i="7"/>
  <c r="M81" i="8"/>
  <c r="AG81" i="8" s="1"/>
  <c r="BC80" i="7"/>
  <c r="M80" i="8"/>
  <c r="BC79" i="7"/>
  <c r="M79" i="8"/>
  <c r="AG79" i="8" s="1"/>
  <c r="BC78" i="7"/>
  <c r="M78" i="8"/>
  <c r="M77" i="8"/>
  <c r="AG77" i="8" s="1"/>
  <c r="BE77" i="7" s="1"/>
  <c r="BI77" i="7" s="1"/>
  <c r="BK77" i="7" s="1"/>
  <c r="BC76" i="7"/>
  <c r="M76" i="8"/>
  <c r="BC75" i="7"/>
  <c r="M75" i="8"/>
  <c r="BC74" i="7"/>
  <c r="M74" i="8"/>
  <c r="BC73" i="7"/>
  <c r="M73" i="8"/>
  <c r="AG73" i="8" s="1"/>
  <c r="M71" i="8"/>
  <c r="M69" i="8"/>
  <c r="W130" i="9"/>
  <c r="M130" i="9"/>
  <c r="G130" i="9"/>
  <c r="W129" i="9"/>
  <c r="M129" i="9"/>
  <c r="G129" i="9"/>
  <c r="W127" i="9"/>
  <c r="M127" i="9"/>
  <c r="G127" i="9"/>
  <c r="W126" i="9"/>
  <c r="M126" i="9"/>
  <c r="G126" i="9"/>
  <c r="W125" i="9"/>
  <c r="M125" i="9"/>
  <c r="G125" i="9"/>
  <c r="M124" i="9"/>
  <c r="G124" i="9"/>
  <c r="W123" i="9"/>
  <c r="M123" i="9"/>
  <c r="G123" i="9"/>
  <c r="W122" i="9"/>
  <c r="M122" i="9"/>
  <c r="G122" i="9"/>
  <c r="W120" i="9"/>
  <c r="M120" i="9"/>
  <c r="G120" i="9"/>
  <c r="M119" i="9"/>
  <c r="G119" i="9"/>
  <c r="W118" i="9"/>
  <c r="M118" i="9"/>
  <c r="G118" i="9"/>
  <c r="W117" i="9"/>
  <c r="M117" i="9"/>
  <c r="G117" i="9"/>
  <c r="W116" i="9"/>
  <c r="M116" i="9"/>
  <c r="G116" i="9"/>
  <c r="W115" i="9"/>
  <c r="M115" i="9"/>
  <c r="G115" i="9"/>
  <c r="W114" i="9"/>
  <c r="M114" i="9"/>
  <c r="G114" i="9"/>
  <c r="W107" i="9"/>
  <c r="M107" i="9"/>
  <c r="G107" i="9"/>
  <c r="W106" i="9"/>
  <c r="M106" i="9"/>
  <c r="G106" i="9"/>
  <c r="W104" i="9"/>
  <c r="M104" i="9"/>
  <c r="G104" i="9"/>
  <c r="M103" i="9"/>
  <c r="G103" i="9"/>
  <c r="W102" i="9"/>
  <c r="M102" i="9"/>
  <c r="G102" i="9"/>
  <c r="W101" i="9"/>
  <c r="M101" i="9"/>
  <c r="G101" i="9"/>
  <c r="W100" i="9"/>
  <c r="M100" i="9"/>
  <c r="G100" i="9"/>
  <c r="W99" i="9"/>
  <c r="M99" i="9"/>
  <c r="G99" i="9"/>
  <c r="W98" i="9"/>
  <c r="M98" i="9"/>
  <c r="G98" i="9"/>
  <c r="W97" i="9"/>
  <c r="M97" i="9"/>
  <c r="G97" i="9"/>
  <c r="W95" i="9"/>
  <c r="G95" i="9"/>
  <c r="W94" i="9"/>
  <c r="M94" i="9"/>
  <c r="G94" i="9"/>
  <c r="W93" i="9"/>
  <c r="M93" i="9"/>
  <c r="G93" i="9"/>
  <c r="AE93" i="9" s="1"/>
  <c r="W92" i="9"/>
  <c r="M92" i="9"/>
  <c r="G92" i="9"/>
  <c r="W91" i="9"/>
  <c r="M91" i="9"/>
  <c r="G91" i="9"/>
  <c r="W90" i="9"/>
  <c r="M90" i="9"/>
  <c r="G90" i="9"/>
  <c r="W89" i="9"/>
  <c r="M89" i="9"/>
  <c r="G89" i="9"/>
  <c r="AE89" i="9" s="1"/>
  <c r="W88" i="9"/>
  <c r="M88" i="9"/>
  <c r="G88" i="9"/>
  <c r="W87" i="9"/>
  <c r="M87" i="9"/>
  <c r="G87" i="9"/>
  <c r="W86" i="9"/>
  <c r="M86" i="9"/>
  <c r="G86" i="9"/>
  <c r="W83" i="9"/>
  <c r="M83" i="9"/>
  <c r="G83" i="9"/>
  <c r="W85" i="9"/>
  <c r="M85" i="9"/>
  <c r="G85" i="9"/>
  <c r="W84" i="9"/>
  <c r="M84" i="9"/>
  <c r="G84" i="9"/>
  <c r="W81" i="9"/>
  <c r="M81" i="9"/>
  <c r="G81" i="9"/>
  <c r="W80" i="9"/>
  <c r="M80" i="9"/>
  <c r="G80" i="9"/>
  <c r="W79" i="9"/>
  <c r="M79" i="9"/>
  <c r="G79" i="9"/>
  <c r="W78" i="9"/>
  <c r="M78" i="9"/>
  <c r="G78" i="9"/>
  <c r="W77" i="9"/>
  <c r="M77" i="9"/>
  <c r="G77" i="9"/>
  <c r="M76" i="9"/>
  <c r="G76" i="9"/>
  <c r="W75" i="9"/>
  <c r="M75" i="9"/>
  <c r="G75" i="9"/>
  <c r="W74" i="9"/>
  <c r="M74" i="9"/>
  <c r="G74" i="9"/>
  <c r="W73" i="9"/>
  <c r="M73" i="9"/>
  <c r="G73" i="9"/>
  <c r="W71" i="9"/>
  <c r="M71" i="9"/>
  <c r="G71" i="9"/>
  <c r="W69" i="9"/>
  <c r="M69" i="9"/>
  <c r="AC86" i="9"/>
  <c r="K73" i="1"/>
  <c r="AG73" i="1" s="1"/>
  <c r="AC102" i="9"/>
  <c r="BE69" i="11"/>
  <c r="BR69" i="11" s="1"/>
  <c r="BE71" i="11"/>
  <c r="BR71" i="11" s="1"/>
  <c r="BE73" i="11"/>
  <c r="BR73" i="11" s="1"/>
  <c r="K69" i="1"/>
  <c r="AG69" i="1" s="1"/>
  <c r="AC103" i="9"/>
  <c r="AC94" i="9"/>
  <c r="AC85" i="9"/>
  <c r="W73" i="5"/>
  <c r="AU73" i="5"/>
  <c r="K73" i="6"/>
  <c r="O73" i="6"/>
  <c r="K71" i="6"/>
  <c r="O71" i="6"/>
  <c r="K69" i="6"/>
  <c r="O69" i="6"/>
  <c r="W73" i="10"/>
  <c r="S73" i="10"/>
  <c r="W71" i="10"/>
  <c r="S71" i="10"/>
  <c r="W69" i="10"/>
  <c r="S69" i="10"/>
  <c r="AT73" i="2"/>
  <c r="W73" i="2"/>
  <c r="W71" i="2"/>
  <c r="AT71" i="2"/>
  <c r="W69" i="2"/>
  <c r="AT69" i="2"/>
  <c r="AE69" i="1"/>
  <c r="W71" i="5"/>
  <c r="AU71" i="5"/>
  <c r="W69" i="5"/>
  <c r="AU69" i="5"/>
  <c r="BC71" i="7"/>
  <c r="BC69" i="7"/>
  <c r="AC130" i="9"/>
  <c r="AC129" i="9"/>
  <c r="AC128" i="9"/>
  <c r="AC127" i="9"/>
  <c r="AC126" i="9"/>
  <c r="AC125" i="9"/>
  <c r="AC124" i="9"/>
  <c r="AC123" i="9"/>
  <c r="AC122" i="9"/>
  <c r="AC120" i="9"/>
  <c r="AC119" i="9"/>
  <c r="AC118" i="9"/>
  <c r="AC117" i="9"/>
  <c r="AC116" i="9"/>
  <c r="AC115" i="9"/>
  <c r="AC114" i="9"/>
  <c r="AC113" i="9"/>
  <c r="AC112" i="9"/>
  <c r="AC107" i="9"/>
  <c r="AC106" i="9"/>
  <c r="AC111" i="9"/>
  <c r="AC104" i="9"/>
  <c r="AC101" i="9"/>
  <c r="AC100" i="9"/>
  <c r="AC99" i="9"/>
  <c r="AC98" i="9"/>
  <c r="AC97" i="9"/>
  <c r="AC95" i="9"/>
  <c r="AC93" i="9"/>
  <c r="AC92" i="9"/>
  <c r="AC91" i="9"/>
  <c r="AC90" i="9"/>
  <c r="AC89" i="9"/>
  <c r="AC88" i="9"/>
  <c r="AC87" i="9"/>
  <c r="AC83" i="9"/>
  <c r="AC84" i="9"/>
  <c r="AC81" i="9"/>
  <c r="AC80" i="9"/>
  <c r="AC79" i="9"/>
  <c r="AC78" i="9"/>
  <c r="AC77" i="9"/>
  <c r="AC75" i="9"/>
  <c r="AC74" i="9"/>
  <c r="AC73" i="9"/>
  <c r="AC71" i="9"/>
  <c r="AC69" i="9"/>
  <c r="AV79" i="2"/>
  <c r="AE96" i="9"/>
  <c r="AG102" i="8"/>
  <c r="BE102" i="7" s="1"/>
  <c r="BI102" i="7" s="1"/>
  <c r="BK102" i="7" s="1"/>
  <c r="AG124" i="8"/>
  <c r="AG127" i="8"/>
  <c r="BE127" i="7" s="1"/>
  <c r="BI127" i="7" s="1"/>
  <c r="BK127" i="7" s="1"/>
  <c r="AG98" i="8"/>
  <c r="AG115" i="8"/>
  <c r="AG118" i="8"/>
  <c r="AG104" i="8"/>
  <c r="AG116" i="8"/>
  <c r="AG126" i="8"/>
  <c r="BE126" i="7" s="1"/>
  <c r="BI126" i="7" s="1"/>
  <c r="BK126" i="7" s="1"/>
  <c r="AG72" i="8"/>
  <c r="AE128" i="9"/>
  <c r="AV85" i="2" l="1"/>
  <c r="BE73" i="7"/>
  <c r="BI73" i="7" s="1"/>
  <c r="BK73" i="7" s="1"/>
  <c r="BE86" i="7"/>
  <c r="BI86" i="7" s="1"/>
  <c r="BK86" i="7" s="1"/>
  <c r="BE130" i="7"/>
  <c r="BI130" i="7" s="1"/>
  <c r="BK130" i="7" s="1"/>
  <c r="BT129" i="11"/>
  <c r="BZ129" i="11" s="1"/>
  <c r="CB129" i="11" s="1"/>
  <c r="AW112" i="5"/>
  <c r="AW75" i="5"/>
  <c r="BQ75" i="4" s="1"/>
  <c r="AW123" i="5"/>
  <c r="BQ123" i="4" s="1"/>
  <c r="AG89" i="6"/>
  <c r="AG91" i="6"/>
  <c r="AG95" i="6"/>
  <c r="AG98" i="6"/>
  <c r="AG102" i="6"/>
  <c r="AG115" i="6"/>
  <c r="AG117" i="6"/>
  <c r="BE113" i="7"/>
  <c r="BI113" i="7" s="1"/>
  <c r="BK113" i="7" s="1"/>
  <c r="BE80" i="7"/>
  <c r="BI80" i="7" s="1"/>
  <c r="BK80" i="7" s="1"/>
  <c r="BE128" i="7"/>
  <c r="BI128" i="7" s="1"/>
  <c r="BK128" i="7" s="1"/>
  <c r="AG91" i="8"/>
  <c r="AG74" i="8"/>
  <c r="BE74" i="7" s="1"/>
  <c r="BI74" i="7" s="1"/>
  <c r="BK74" i="7" s="1"/>
  <c r="AG88" i="8"/>
  <c r="BE88" i="7" s="1"/>
  <c r="BI88" i="7" s="1"/>
  <c r="BK88" i="7" s="1"/>
  <c r="AG69" i="8"/>
  <c r="BE69" i="7" s="1"/>
  <c r="BI69" i="7" s="1"/>
  <c r="BK69" i="7" s="1"/>
  <c r="AG99" i="8"/>
  <c r="BE99" i="7" s="1"/>
  <c r="BI99" i="7" s="1"/>
  <c r="BK99" i="7" s="1"/>
  <c r="AG125" i="8"/>
  <c r="BE125" i="7" s="1"/>
  <c r="BI125" i="7" s="1"/>
  <c r="BK125" i="7" s="1"/>
  <c r="AG105" i="8"/>
  <c r="BE105" i="7" s="1"/>
  <c r="BI105" i="7" s="1"/>
  <c r="BK105" i="7" s="1"/>
  <c r="AG75" i="8"/>
  <c r="BE75" i="7" s="1"/>
  <c r="BI75" i="7" s="1"/>
  <c r="BK75" i="7" s="1"/>
  <c r="AG93" i="8"/>
  <c r="BE93" i="7" s="1"/>
  <c r="BI93" i="7" s="1"/>
  <c r="BK93" i="7" s="1"/>
  <c r="AG123" i="8"/>
  <c r="BE123" i="7" s="1"/>
  <c r="BI123" i="7" s="1"/>
  <c r="BK123" i="7" s="1"/>
  <c r="AG78" i="8"/>
  <c r="BE78" i="7" s="1"/>
  <c r="BI78" i="7" s="1"/>
  <c r="BK78" i="7" s="1"/>
  <c r="AG119" i="8"/>
  <c r="BE119" i="7" s="1"/>
  <c r="BI119" i="7" s="1"/>
  <c r="BK119" i="7" s="1"/>
  <c r="AG122" i="8"/>
  <c r="BE122" i="7" s="1"/>
  <c r="BI122" i="7" s="1"/>
  <c r="BK122" i="7" s="1"/>
  <c r="AG106" i="8"/>
  <c r="AE110" i="9"/>
  <c r="AE105" i="9"/>
  <c r="AE112" i="9"/>
  <c r="AE95" i="9"/>
  <c r="AE72" i="9"/>
  <c r="AE126" i="9"/>
  <c r="AE129" i="9"/>
  <c r="AE130" i="9"/>
  <c r="AV92" i="2"/>
  <c r="BT92" i="11" s="1"/>
  <c r="AV84" i="2"/>
  <c r="AV130" i="2"/>
  <c r="AV72" i="2"/>
  <c r="BT72" i="11" s="1"/>
  <c r="AV103" i="2"/>
  <c r="BT103" i="11" s="1"/>
  <c r="BZ103" i="11" s="1"/>
  <c r="CB103" i="11" s="1"/>
  <c r="AV81" i="2"/>
  <c r="BT81" i="11" s="1"/>
  <c r="AV104" i="2"/>
  <c r="BT104" i="11" s="1"/>
  <c r="BZ104" i="11" s="1"/>
  <c r="CB104" i="11" s="1"/>
  <c r="AV107" i="2"/>
  <c r="BT107" i="11" s="1"/>
  <c r="BZ107" i="11" s="1"/>
  <c r="CB107" i="11" s="1"/>
  <c r="AV113" i="2"/>
  <c r="BT113" i="11" s="1"/>
  <c r="BZ113" i="11" s="1"/>
  <c r="CB113" i="11" s="1"/>
  <c r="AV117" i="2"/>
  <c r="BT117" i="11" s="1"/>
  <c r="BZ117" i="11" s="1"/>
  <c r="CB117" i="11" s="1"/>
  <c r="AV83" i="2"/>
  <c r="BT83" i="11" s="1"/>
  <c r="BZ83" i="11" s="1"/>
  <c r="CB83" i="11" s="1"/>
  <c r="AV89" i="2"/>
  <c r="BT89" i="11" s="1"/>
  <c r="BZ89" i="11" s="1"/>
  <c r="CB89" i="11" s="1"/>
  <c r="AV99" i="2"/>
  <c r="BT99" i="11" s="1"/>
  <c r="BZ99" i="11" s="1"/>
  <c r="CB99" i="11" s="1"/>
  <c r="AV112" i="2"/>
  <c r="BT112" i="11" s="1"/>
  <c r="BZ112" i="11" s="1"/>
  <c r="CB112" i="11" s="1"/>
  <c r="AV116" i="2"/>
  <c r="BT116" i="11" s="1"/>
  <c r="BZ116" i="11" s="1"/>
  <c r="CB116" i="11" s="1"/>
  <c r="AV115" i="2"/>
  <c r="BT115" i="11" s="1"/>
  <c r="AV95" i="2"/>
  <c r="BT95" i="11" s="1"/>
  <c r="AV120" i="2"/>
  <c r="BT120" i="11" s="1"/>
  <c r="BZ120" i="11" s="1"/>
  <c r="CB120" i="11" s="1"/>
  <c r="AV74" i="2"/>
  <c r="BT74" i="11" s="1"/>
  <c r="BZ74" i="11" s="1"/>
  <c r="CB74" i="11" s="1"/>
  <c r="AV87" i="2"/>
  <c r="BT87" i="11" s="1"/>
  <c r="BZ87" i="11" s="1"/>
  <c r="CB87" i="11" s="1"/>
  <c r="AV93" i="2"/>
  <c r="BT93" i="11" s="1"/>
  <c r="BZ93" i="11" s="1"/>
  <c r="CB93" i="11" s="1"/>
  <c r="AV110" i="2"/>
  <c r="BT110" i="11" s="1"/>
  <c r="BZ110" i="11" s="1"/>
  <c r="CB110" i="11" s="1"/>
  <c r="AV102" i="2"/>
  <c r="BT102" i="11" s="1"/>
  <c r="BZ102" i="11" s="1"/>
  <c r="CB102" i="11" s="1"/>
  <c r="AV111" i="2"/>
  <c r="BT111" i="11" s="1"/>
  <c r="BZ111" i="11" s="1"/>
  <c r="CB111" i="11" s="1"/>
  <c r="AV119" i="2"/>
  <c r="BT119" i="11" s="1"/>
  <c r="AV105" i="2"/>
  <c r="BT105" i="11" s="1"/>
  <c r="BZ105" i="11" s="1"/>
  <c r="CB105" i="11" s="1"/>
  <c r="AV96" i="2"/>
  <c r="AV122" i="2"/>
  <c r="BT122" i="11" s="1"/>
  <c r="BZ122" i="11" s="1"/>
  <c r="CB122" i="11" s="1"/>
  <c r="AV70" i="2"/>
  <c r="BT70" i="11" s="1"/>
  <c r="BZ70" i="11" s="1"/>
  <c r="AV121" i="2"/>
  <c r="BT121" i="11" s="1"/>
  <c r="BZ121" i="11" s="1"/>
  <c r="CB121" i="11" s="1"/>
  <c r="AV126" i="2"/>
  <c r="AW95" i="5"/>
  <c r="AW99" i="5"/>
  <c r="BQ99" i="4" s="1"/>
  <c r="AW96" i="5"/>
  <c r="BQ96" i="4" s="1"/>
  <c r="AW74" i="5"/>
  <c r="BQ74" i="4" s="1"/>
  <c r="AW79" i="5"/>
  <c r="AW72" i="5"/>
  <c r="BQ72" i="4" s="1"/>
  <c r="AW93" i="5"/>
  <c r="BQ93" i="4" s="1"/>
  <c r="AG93" i="6"/>
  <c r="AG100" i="6"/>
  <c r="AG84" i="6"/>
  <c r="BE70" i="7"/>
  <c r="BI70" i="7" s="1"/>
  <c r="BK70" i="7" s="1"/>
  <c r="AG117" i="8"/>
  <c r="BE117" i="7" s="1"/>
  <c r="BI117" i="7" s="1"/>
  <c r="BK117" i="7" s="1"/>
  <c r="AG107" i="8"/>
  <c r="AG95" i="8"/>
  <c r="BE95" i="7" s="1"/>
  <c r="BI95" i="7" s="1"/>
  <c r="BK95" i="7" s="1"/>
  <c r="AG100" i="8"/>
  <c r="BE100" i="7" s="1"/>
  <c r="BI100" i="7" s="1"/>
  <c r="BK100" i="7" s="1"/>
  <c r="BE116" i="7"/>
  <c r="BI116" i="7" s="1"/>
  <c r="BK116" i="7" s="1"/>
  <c r="AG129" i="8"/>
  <c r="BE129" i="7" s="1"/>
  <c r="BI129" i="7" s="1"/>
  <c r="BK129" i="7" s="1"/>
  <c r="AV125" i="2"/>
  <c r="BT125" i="11" s="1"/>
  <c r="BZ125" i="11" s="1"/>
  <c r="CB125" i="11" s="1"/>
  <c r="AE125" i="9"/>
  <c r="AG75" i="6"/>
  <c r="AG77" i="6"/>
  <c r="AV123" i="2"/>
  <c r="BT123" i="11" s="1"/>
  <c r="BZ123" i="11" s="1"/>
  <c r="CB123" i="11" s="1"/>
  <c r="AG122" i="6"/>
  <c r="AW121" i="5"/>
  <c r="BQ121" i="4" s="1"/>
  <c r="AG121" i="8"/>
  <c r="BE121" i="7" s="1"/>
  <c r="BI121" i="7" s="1"/>
  <c r="BK121" i="7" s="1"/>
  <c r="AE121" i="9"/>
  <c r="AG119" i="6"/>
  <c r="AE119" i="9"/>
  <c r="AG76" i="6"/>
  <c r="AG92" i="6"/>
  <c r="AG97" i="6"/>
  <c r="AG103" i="6"/>
  <c r="AG114" i="6"/>
  <c r="AG118" i="6"/>
  <c r="AG120" i="6"/>
  <c r="AG123" i="6"/>
  <c r="AG110" i="8"/>
  <c r="AG116" i="6"/>
  <c r="AW114" i="5"/>
  <c r="BQ114" i="4" s="1"/>
  <c r="AG113" i="6"/>
  <c r="AG112" i="6"/>
  <c r="BE112" i="7"/>
  <c r="BI112" i="7" s="1"/>
  <c r="BK112" i="7" s="1"/>
  <c r="AG111" i="6"/>
  <c r="AG110" i="6"/>
  <c r="BE110" i="7"/>
  <c r="BI110" i="7" s="1"/>
  <c r="BK110" i="7" s="1"/>
  <c r="AG107" i="6"/>
  <c r="AV106" i="2"/>
  <c r="BT106" i="11" s="1"/>
  <c r="BZ106" i="11" s="1"/>
  <c r="CB106" i="11" s="1"/>
  <c r="AG106" i="6"/>
  <c r="BE106" i="7"/>
  <c r="BI106" i="7" s="1"/>
  <c r="BK106" i="7" s="1"/>
  <c r="AG104" i="6"/>
  <c r="BE104" i="7"/>
  <c r="BI104" i="7" s="1"/>
  <c r="BK104" i="7" s="1"/>
  <c r="AG101" i="6"/>
  <c r="AG99" i="6"/>
  <c r="AG96" i="8"/>
  <c r="BE96" i="7" s="1"/>
  <c r="BI96" i="7" s="1"/>
  <c r="BK96" i="7" s="1"/>
  <c r="AG94" i="6"/>
  <c r="BE94" i="7"/>
  <c r="BI94" i="7" s="1"/>
  <c r="BK94" i="7" s="1"/>
  <c r="AE69" i="9"/>
  <c r="AE74" i="9"/>
  <c r="AE77" i="9"/>
  <c r="AE79" i="9"/>
  <c r="AE88" i="9"/>
  <c r="AE92" i="9"/>
  <c r="AE99" i="9"/>
  <c r="AE101" i="9"/>
  <c r="AE102" i="9"/>
  <c r="AE103" i="9"/>
  <c r="AE104" i="9"/>
  <c r="AE106" i="9"/>
  <c r="AE107" i="9"/>
  <c r="AE114" i="9"/>
  <c r="AE116" i="9"/>
  <c r="AE117" i="9"/>
  <c r="AE118" i="9"/>
  <c r="AE120" i="9"/>
  <c r="AE123" i="9"/>
  <c r="AE124" i="9"/>
  <c r="AE127" i="9"/>
  <c r="AG70" i="6"/>
  <c r="AV86" i="2"/>
  <c r="BT86" i="11" s="1"/>
  <c r="BZ86" i="11" s="1"/>
  <c r="CB86" i="11" s="1"/>
  <c r="AG74" i="6"/>
  <c r="AE73" i="9"/>
  <c r="AE75" i="9"/>
  <c r="AE78" i="9"/>
  <c r="AE80" i="9"/>
  <c r="AE84" i="9"/>
  <c r="AV88" i="2"/>
  <c r="BT88" i="11" s="1"/>
  <c r="BZ88" i="11" s="1"/>
  <c r="CB88" i="11" s="1"/>
  <c r="BE87" i="7"/>
  <c r="BI87" i="7" s="1"/>
  <c r="BK87" i="7" s="1"/>
  <c r="AE91" i="9"/>
  <c r="AG90" i="6"/>
  <c r="AE90" i="9"/>
  <c r="AG88" i="6"/>
  <c r="AG87" i="6"/>
  <c r="AE87" i="9"/>
  <c r="AG86" i="6"/>
  <c r="AG85" i="6"/>
  <c r="AE85" i="9"/>
  <c r="AG130" i="6"/>
  <c r="AG105" i="6"/>
  <c r="AG121" i="6"/>
  <c r="AG96" i="6"/>
  <c r="AG80" i="6"/>
  <c r="AW83" i="5"/>
  <c r="BQ83" i="4" s="1"/>
  <c r="AG79" i="6"/>
  <c r="AE83" i="9"/>
  <c r="AG83" i="6"/>
  <c r="AG124" i="6"/>
  <c r="AG125" i="6"/>
  <c r="AG126" i="6"/>
  <c r="AG127" i="6"/>
  <c r="AG72" i="6"/>
  <c r="AG69" i="6"/>
  <c r="AG73" i="6"/>
  <c r="AG78" i="6"/>
  <c r="AG129" i="6"/>
  <c r="AW87" i="5"/>
  <c r="BQ87" i="4" s="1"/>
  <c r="AW71" i="5"/>
  <c r="BQ71" i="4" s="1"/>
  <c r="AG71" i="6"/>
  <c r="AE71" i="9"/>
  <c r="BT130" i="11"/>
  <c r="BZ130" i="11" s="1"/>
  <c r="CB130" i="11" s="1"/>
  <c r="AW69" i="5"/>
  <c r="BQ69" i="4" s="1"/>
  <c r="AW73" i="5"/>
  <c r="BQ73" i="4" s="1"/>
  <c r="AE81" i="9"/>
  <c r="AV75" i="2"/>
  <c r="BT75" i="11" s="1"/>
  <c r="BZ75" i="11" s="1"/>
  <c r="CB75" i="11" s="1"/>
  <c r="AV98" i="2"/>
  <c r="BT98" i="11" s="1"/>
  <c r="BZ98" i="11" s="1"/>
  <c r="CB98" i="11" s="1"/>
  <c r="AV124" i="2"/>
  <c r="BT124" i="11" s="1"/>
  <c r="BZ124" i="11" s="1"/>
  <c r="CB124" i="11" s="1"/>
  <c r="AV73" i="2"/>
  <c r="BT73" i="11" s="1"/>
  <c r="BZ73" i="11" s="1"/>
  <c r="CB73" i="11" s="1"/>
  <c r="BQ112" i="4"/>
  <c r="AW106" i="5"/>
  <c r="BQ106" i="4" s="1"/>
  <c r="BE111" i="7"/>
  <c r="BI111" i="7" s="1"/>
  <c r="BK111" i="7" s="1"/>
  <c r="BE103" i="7"/>
  <c r="BI103" i="7" s="1"/>
  <c r="BK103" i="7" s="1"/>
  <c r="BE118" i="7"/>
  <c r="BI118" i="7" s="1"/>
  <c r="BK118" i="7" s="1"/>
  <c r="BE120" i="7"/>
  <c r="BI120" i="7" s="1"/>
  <c r="BK120" i="7" s="1"/>
  <c r="BE114" i="7"/>
  <c r="BI114" i="7" s="1"/>
  <c r="BK114" i="7" s="1"/>
  <c r="BE115" i="7"/>
  <c r="BI115" i="7" s="1"/>
  <c r="BK115" i="7" s="1"/>
  <c r="BE98" i="7"/>
  <c r="BI98" i="7" s="1"/>
  <c r="BK98" i="7" s="1"/>
  <c r="AW110" i="5"/>
  <c r="BQ110" i="4" s="1"/>
  <c r="AG83" i="8"/>
  <c r="BE83" i="7" s="1"/>
  <c r="BI83" i="7" s="1"/>
  <c r="BK83" i="7" s="1"/>
  <c r="AG76" i="8"/>
  <c r="BE76" i="7" s="1"/>
  <c r="BI76" i="7" s="1"/>
  <c r="BK76" i="7" s="1"/>
  <c r="AG84" i="8"/>
  <c r="BE84" i="7" s="1"/>
  <c r="BI84" i="7" s="1"/>
  <c r="BK84" i="7" s="1"/>
  <c r="AW100" i="5"/>
  <c r="BQ100" i="4" s="1"/>
  <c r="AW98" i="5"/>
  <c r="BQ98" i="4" s="1"/>
  <c r="BE92" i="7"/>
  <c r="BI92" i="7" s="1"/>
  <c r="BK92" i="7" s="1"/>
  <c r="AG101" i="8"/>
  <c r="BE101" i="7" s="1"/>
  <c r="BI101" i="7" s="1"/>
  <c r="BK101" i="7" s="1"/>
  <c r="AE97" i="9"/>
  <c r="AE100" i="9"/>
  <c r="AE122" i="9"/>
  <c r="BT84" i="11"/>
  <c r="BZ84" i="11" s="1"/>
  <c r="CB84" i="11" s="1"/>
  <c r="BT77" i="11"/>
  <c r="BZ77" i="11" s="1"/>
  <c r="CB77" i="11" s="1"/>
  <c r="BT76" i="11"/>
  <c r="BZ76" i="11" s="1"/>
  <c r="CB76" i="11" s="1"/>
  <c r="BT79" i="11"/>
  <c r="BT85" i="11"/>
  <c r="BZ85" i="11" s="1"/>
  <c r="CB85" i="11" s="1"/>
  <c r="AV101" i="2"/>
  <c r="BT101" i="11" s="1"/>
  <c r="AW84" i="5"/>
  <c r="BQ84" i="4" s="1"/>
  <c r="BT127" i="11"/>
  <c r="BZ127" i="11" s="1"/>
  <c r="CB127" i="11" s="1"/>
  <c r="AW120" i="5"/>
  <c r="BQ120" i="4" s="1"/>
  <c r="BT126" i="11"/>
  <c r="BZ126" i="11" s="1"/>
  <c r="CB126" i="11" s="1"/>
  <c r="BE124" i="7"/>
  <c r="BI124" i="7" s="1"/>
  <c r="BK124" i="7" s="1"/>
  <c r="AE115" i="9"/>
  <c r="BT97" i="11"/>
  <c r="BZ97" i="11" s="1"/>
  <c r="CB97" i="11" s="1"/>
  <c r="BE89" i="7"/>
  <c r="BI89" i="7" s="1"/>
  <c r="BK89" i="7" s="1"/>
  <c r="BE90" i="7"/>
  <c r="BI90" i="7" s="1"/>
  <c r="BK90" i="7" s="1"/>
  <c r="BE91" i="7"/>
  <c r="BI91" i="7" s="1"/>
  <c r="BK91" i="7" s="1"/>
  <c r="BT96" i="11"/>
  <c r="BZ96" i="11" s="1"/>
  <c r="CB96" i="11" s="1"/>
  <c r="BQ95" i="4"/>
  <c r="AV69" i="2"/>
  <c r="BT69" i="11" s="1"/>
  <c r="AV71" i="2"/>
  <c r="AV91" i="2"/>
  <c r="AV100" i="2"/>
  <c r="AV78" i="2"/>
  <c r="AV80" i="2"/>
  <c r="AW92" i="5"/>
  <c r="BQ92" i="4" s="1"/>
  <c r="AW90" i="5"/>
  <c r="BQ90" i="4" s="1"/>
  <c r="AW101" i="5"/>
  <c r="BQ101" i="4" s="1"/>
  <c r="AW86" i="5"/>
  <c r="BQ86" i="4" s="1"/>
  <c r="AW89" i="5"/>
  <c r="BQ89" i="4" s="1"/>
  <c r="AW91" i="5"/>
  <c r="BQ91" i="4" s="1"/>
  <c r="AW88" i="5"/>
  <c r="BQ88" i="4" s="1"/>
  <c r="AW117" i="5"/>
  <c r="BQ117" i="4" s="1"/>
  <c r="AW85" i="5"/>
  <c r="BQ85" i="4" s="1"/>
  <c r="AW129" i="5"/>
  <c r="BQ129" i="4" s="1"/>
  <c r="AW122" i="5"/>
  <c r="BQ122" i="4" s="1"/>
  <c r="AW127" i="5"/>
  <c r="AW118" i="5"/>
  <c r="BQ118" i="4" s="1"/>
  <c r="AE86" i="9"/>
  <c r="AV94" i="2"/>
  <c r="AV114" i="2"/>
  <c r="AV118" i="2"/>
  <c r="AW111" i="5"/>
  <c r="BQ111" i="4" s="1"/>
  <c r="AW102" i="5"/>
  <c r="BQ102" i="4" s="1"/>
  <c r="AW103" i="5"/>
  <c r="BQ103" i="4" s="1"/>
  <c r="AW105" i="5"/>
  <c r="BQ105" i="4" s="1"/>
  <c r="AW119" i="5"/>
  <c r="BQ119" i="4" s="1"/>
  <c r="AW81" i="5"/>
  <c r="BQ81" i="4" s="1"/>
  <c r="AW76" i="5"/>
  <c r="BQ76" i="4" s="1"/>
  <c r="AW77" i="5"/>
  <c r="BQ77" i="4" s="1"/>
  <c r="AW115" i="5"/>
  <c r="BQ115" i="4" s="1"/>
  <c r="AV90" i="2"/>
  <c r="AW78" i="5"/>
  <c r="BQ78" i="4" s="1"/>
  <c r="AW107" i="5"/>
  <c r="BQ107" i="4" s="1"/>
  <c r="AW70" i="5"/>
  <c r="BQ70" i="4" s="1"/>
  <c r="AW104" i="5"/>
  <c r="BQ104" i="4" s="1"/>
  <c r="AW113" i="5"/>
  <c r="BQ113" i="4" s="1"/>
  <c r="AW124" i="5"/>
  <c r="BQ124" i="4" s="1"/>
  <c r="AW125" i="5"/>
  <c r="BQ125" i="4" s="1"/>
  <c r="AW126" i="5"/>
  <c r="BQ126" i="4" s="1"/>
  <c r="AW94" i="5"/>
  <c r="BQ94" i="4" s="1"/>
  <c r="AW97" i="5"/>
  <c r="BQ97" i="4" s="1"/>
  <c r="BQ79" i="4"/>
  <c r="AW128" i="5"/>
  <c r="AW80" i="5"/>
  <c r="BQ80" i="4" s="1"/>
  <c r="AW116" i="5"/>
  <c r="BQ116" i="4" s="1"/>
  <c r="AW130" i="5"/>
  <c r="BQ130" i="4" s="1"/>
  <c r="BE107" i="7"/>
  <c r="BI107" i="7" s="1"/>
  <c r="BK107" i="7" s="1"/>
  <c r="BE72" i="7"/>
  <c r="BI72" i="7" s="1"/>
  <c r="BK72" i="7" s="1"/>
  <c r="BE71" i="7"/>
  <c r="BI71" i="7" s="1"/>
  <c r="BK71" i="7" s="1"/>
  <c r="BE79" i="7"/>
  <c r="BI79" i="7" s="1"/>
  <c r="BK79" i="7" s="1"/>
  <c r="BE97" i="7"/>
  <c r="BI97" i="7" s="1"/>
  <c r="BK97" i="7" s="1"/>
  <c r="BE81" i="7"/>
  <c r="BI81" i="7" s="1"/>
  <c r="BK81" i="7" s="1"/>
  <c r="BE85" i="7"/>
  <c r="BI85" i="7" s="1"/>
  <c r="BK85" i="7" s="1"/>
  <c r="AE76" i="9"/>
  <c r="AE94" i="9"/>
  <c r="AE98" i="9"/>
  <c r="BW97" i="4" l="1"/>
  <c r="BY97" i="4" s="1"/>
  <c r="BW107" i="4"/>
  <c r="BY107" i="4" s="1"/>
  <c r="BW85" i="4"/>
  <c r="BY85" i="4" s="1"/>
  <c r="BW89" i="4"/>
  <c r="BY89" i="4" s="1"/>
  <c r="BW130" i="4"/>
  <c r="BY130" i="4" s="1"/>
  <c r="BW104" i="4"/>
  <c r="BY104" i="4" s="1"/>
  <c r="BW102" i="4"/>
  <c r="BY102" i="4" s="1"/>
  <c r="BW122" i="4"/>
  <c r="BY122" i="4" s="1"/>
  <c r="BW88" i="4"/>
  <c r="BY88" i="4" s="1"/>
  <c r="BW101" i="4"/>
  <c r="BY101" i="4" s="1"/>
  <c r="BW110" i="4"/>
  <c r="BY110" i="4" s="1"/>
  <c r="BW106" i="4"/>
  <c r="BY106" i="4" s="1"/>
  <c r="BW96" i="4"/>
  <c r="BY96" i="4" s="1"/>
  <c r="BW71" i="4"/>
  <c r="BY71" i="4" s="1"/>
  <c r="BW121" i="4"/>
  <c r="BY121" i="4" s="1"/>
  <c r="BW116" i="4"/>
  <c r="BY116" i="4" s="1"/>
  <c r="BW79" i="4"/>
  <c r="BY79" i="4" s="1"/>
  <c r="BW125" i="4"/>
  <c r="BY125" i="4" s="1"/>
  <c r="BW119" i="4"/>
  <c r="BY119" i="4" s="1"/>
  <c r="BW111" i="4"/>
  <c r="BY111" i="4" s="1"/>
  <c r="BW129" i="4"/>
  <c r="BY129" i="4" s="1"/>
  <c r="BW91" i="4"/>
  <c r="BY91" i="4" s="1"/>
  <c r="BW90" i="4"/>
  <c r="BY90" i="4" s="1"/>
  <c r="BW95" i="4"/>
  <c r="BY95" i="4" s="1"/>
  <c r="BW87" i="4"/>
  <c r="BY87" i="4" s="1"/>
  <c r="BW74" i="4"/>
  <c r="BY74" i="4" s="1"/>
  <c r="BW114" i="4"/>
  <c r="BY114" i="4" s="1"/>
  <c r="BW124" i="4"/>
  <c r="BY124" i="4" s="1"/>
  <c r="BW92" i="4"/>
  <c r="BY92" i="4" s="1"/>
  <c r="BW75" i="4"/>
  <c r="BY75" i="4" s="1"/>
  <c r="BW83" i="4"/>
  <c r="BY83" i="4" s="1"/>
  <c r="BW123" i="4"/>
  <c r="BY123" i="4" s="1"/>
  <c r="BW93" i="4"/>
  <c r="BY93" i="4" s="1"/>
  <c r="BW94" i="4"/>
  <c r="BY94" i="4" s="1"/>
  <c r="BW113" i="4"/>
  <c r="BY113" i="4" s="1"/>
  <c r="BW78" i="4"/>
  <c r="BY78" i="4" s="1"/>
  <c r="BW76" i="4"/>
  <c r="BY76" i="4" s="1"/>
  <c r="BW117" i="4"/>
  <c r="BY117" i="4" s="1"/>
  <c r="BW86" i="4"/>
  <c r="BY86" i="4" s="1"/>
  <c r="BW120" i="4"/>
  <c r="BY120" i="4" s="1"/>
  <c r="BW98" i="4"/>
  <c r="BY98" i="4" s="1"/>
  <c r="BW112" i="4"/>
  <c r="BY112" i="4" s="1"/>
  <c r="BW73" i="4"/>
  <c r="BY73" i="4" s="1"/>
  <c r="BW99" i="4"/>
  <c r="BY99" i="4" s="1"/>
  <c r="BW126" i="4"/>
  <c r="BY126" i="4" s="1"/>
  <c r="BW118" i="4"/>
  <c r="BY118" i="4" s="1"/>
  <c r="BW115" i="4"/>
  <c r="BY115" i="4" s="1"/>
  <c r="BW105" i="4"/>
  <c r="BY105" i="4" s="1"/>
  <c r="BW103" i="4"/>
  <c r="BY103" i="4" s="1"/>
  <c r="BW100" i="4"/>
  <c r="BY100" i="4" s="1"/>
  <c r="BW84" i="4"/>
  <c r="BY84" i="4" s="1"/>
  <c r="BW80" i="4"/>
  <c r="BY80" i="4" s="1"/>
  <c r="BW81" i="4"/>
  <c r="BY81" i="4" s="1"/>
  <c r="BW77" i="4"/>
  <c r="BY77" i="4" s="1"/>
  <c r="BW72" i="4"/>
  <c r="BY72" i="4" s="1"/>
  <c r="BW70" i="4"/>
  <c r="BY70" i="4" s="1"/>
  <c r="BW69" i="4"/>
  <c r="BY69" i="4" s="1"/>
  <c r="BZ81" i="11"/>
  <c r="CB81" i="11" s="1"/>
  <c r="BZ92" i="11"/>
  <c r="CB92" i="11" s="1"/>
  <c r="BT91" i="11"/>
  <c r="BZ91" i="11" s="1"/>
  <c r="CB91" i="11" s="1"/>
  <c r="BQ128" i="4"/>
  <c r="BZ119" i="11"/>
  <c r="CB119" i="11" s="1"/>
  <c r="BT118" i="11"/>
  <c r="BZ118" i="11" s="1"/>
  <c r="CB118" i="11" s="1"/>
  <c r="BT80" i="11"/>
  <c r="BZ80" i="11" s="1"/>
  <c r="CB80" i="11" s="1"/>
  <c r="BZ79" i="11"/>
  <c r="CB79" i="11" s="1"/>
  <c r="BT90" i="11"/>
  <c r="BZ90" i="11" s="1"/>
  <c r="CB90" i="11" s="1"/>
  <c r="BT78" i="11"/>
  <c r="BZ78" i="11" s="1"/>
  <c r="CB78" i="11" s="1"/>
  <c r="BQ127" i="4"/>
  <c r="BZ115" i="11"/>
  <c r="CB115" i="11" s="1"/>
  <c r="BT114" i="11"/>
  <c r="BZ114" i="11" s="1"/>
  <c r="CB114" i="11" s="1"/>
  <c r="BZ101" i="11"/>
  <c r="CB101" i="11" s="1"/>
  <c r="BT100" i="11"/>
  <c r="BZ100" i="11" s="1"/>
  <c r="CB100" i="11" s="1"/>
  <c r="CB70" i="11"/>
  <c r="BZ69" i="11"/>
  <c r="CB69" i="11" s="1"/>
  <c r="BZ72" i="11"/>
  <c r="CB72" i="11" s="1"/>
  <c r="BT71" i="11"/>
  <c r="BZ71" i="11" s="1"/>
  <c r="CB71" i="11" s="1"/>
  <c r="BZ95" i="11"/>
  <c r="CB95" i="11" s="1"/>
  <c r="BT94" i="11"/>
  <c r="BZ94" i="11" s="1"/>
  <c r="CB94" i="11" s="1"/>
  <c r="BW128" i="4" l="1"/>
  <c r="BY128" i="4" s="1"/>
  <c r="BW127" i="4"/>
  <c r="BY127" i="4" s="1"/>
</calcChain>
</file>

<file path=xl/sharedStrings.xml><?xml version="1.0" encoding="utf-8"?>
<sst xmlns="http://schemas.openxmlformats.org/spreadsheetml/2006/main" count="4908" uniqueCount="434">
  <si>
    <t>Summary Data from the Statement of Net Assets - Governmental Activities</t>
  </si>
  <si>
    <t>Amounts</t>
  </si>
  <si>
    <t>Assets</t>
  </si>
  <si>
    <t>Net Assets</t>
  </si>
  <si>
    <t>Statement</t>
  </si>
  <si>
    <t>Current</t>
  </si>
  <si>
    <t>Capital</t>
  </si>
  <si>
    <t>Deferred</t>
  </si>
  <si>
    <t>Total</t>
  </si>
  <si>
    <t>Long-term Liabilities</t>
  </si>
  <si>
    <t>Invested in</t>
  </si>
  <si>
    <t>Balances if</t>
  </si>
  <si>
    <t>County</t>
  </si>
  <si>
    <t>IRN #</t>
  </si>
  <si>
    <t>Investments</t>
  </si>
  <si>
    <t>Liabilities</t>
  </si>
  <si>
    <t>More Than 1 Yr</t>
  </si>
  <si>
    <t>Capital Assets</t>
  </si>
  <si>
    <t>Restricted</t>
  </si>
  <si>
    <t>Unrestricted</t>
  </si>
  <si>
    <t>Value is "0"</t>
  </si>
  <si>
    <t>Hardin</t>
  </si>
  <si>
    <t>Revenues from the Statement of Activities - Governmental Activities</t>
  </si>
  <si>
    <t>Program Revenues - Governmental Activities</t>
  </si>
  <si>
    <t xml:space="preserve"> </t>
  </si>
  <si>
    <t>Operating</t>
  </si>
  <si>
    <t>General</t>
  </si>
  <si>
    <t>Grants,</t>
  </si>
  <si>
    <t>Extra-</t>
  </si>
  <si>
    <t>Payments in</t>
  </si>
  <si>
    <t>Contributions</t>
  </si>
  <si>
    <t>Extraordinary/</t>
  </si>
  <si>
    <t>Revenues</t>
  </si>
  <si>
    <t>Charges for</t>
  </si>
  <si>
    <t>Program</t>
  </si>
  <si>
    <t>Property</t>
  </si>
  <si>
    <t>Grants and</t>
  </si>
  <si>
    <t>Investment</t>
  </si>
  <si>
    <t>Tuition</t>
  </si>
  <si>
    <t>curricular</t>
  </si>
  <si>
    <t>Lieu of</t>
  </si>
  <si>
    <t>and</t>
  </si>
  <si>
    <t>Transfers-</t>
  </si>
  <si>
    <t xml:space="preserve">Special </t>
  </si>
  <si>
    <t>Services</t>
  </si>
  <si>
    <t>and Interest</t>
  </si>
  <si>
    <t>Grants</t>
  </si>
  <si>
    <t>Taxes</t>
  </si>
  <si>
    <t>Entitlements</t>
  </si>
  <si>
    <t>Earnings</t>
  </si>
  <si>
    <t>and Fees</t>
  </si>
  <si>
    <t>Activities</t>
  </si>
  <si>
    <t>Donations</t>
  </si>
  <si>
    <t>Items</t>
  </si>
  <si>
    <t>This Column</t>
  </si>
  <si>
    <t>Should not</t>
  </si>
  <si>
    <t>exist</t>
  </si>
  <si>
    <t>Instruction</t>
  </si>
  <si>
    <t>Support Services</t>
  </si>
  <si>
    <t>Operation and</t>
  </si>
  <si>
    <t>outlay and</t>
  </si>
  <si>
    <t>and Activities</t>
  </si>
  <si>
    <t>Instructional</t>
  </si>
  <si>
    <t>Board of</t>
  </si>
  <si>
    <t>Maintenance</t>
  </si>
  <si>
    <t>Pupil</t>
  </si>
  <si>
    <t>Food</t>
  </si>
  <si>
    <t>Extracurricular</t>
  </si>
  <si>
    <t>Transfers</t>
  </si>
  <si>
    <t>debt</t>
  </si>
  <si>
    <t>All Other</t>
  </si>
  <si>
    <t>Beginning</t>
  </si>
  <si>
    <t>End of</t>
  </si>
  <si>
    <t>Balance if</t>
  </si>
  <si>
    <t>Special</t>
  </si>
  <si>
    <t>Vocational</t>
  </si>
  <si>
    <t>Staff</t>
  </si>
  <si>
    <t>Education</t>
  </si>
  <si>
    <t>Administration</t>
  </si>
  <si>
    <t>Fiscal</t>
  </si>
  <si>
    <t>Business</t>
  </si>
  <si>
    <t>of Plant</t>
  </si>
  <si>
    <t>Transportation</t>
  </si>
  <si>
    <t>Central</t>
  </si>
  <si>
    <t>Service</t>
  </si>
  <si>
    <t>Other</t>
  </si>
  <si>
    <t>Interest</t>
  </si>
  <si>
    <t>Out</t>
  </si>
  <si>
    <t>principal</t>
  </si>
  <si>
    <t>Expenses</t>
  </si>
  <si>
    <t>of Year</t>
  </si>
  <si>
    <t>Year</t>
  </si>
  <si>
    <t>Summary Data from the General Fund Balance Sheet</t>
  </si>
  <si>
    <t>Cash and</t>
  </si>
  <si>
    <t>Fund</t>
  </si>
  <si>
    <t>Balances</t>
  </si>
  <si>
    <t>Revenue</t>
  </si>
  <si>
    <t>Fund Balance</t>
  </si>
  <si>
    <t>General Fund Revenues - Modified Accrual Basis of Accounting</t>
  </si>
  <si>
    <t>Other Financing Sources</t>
  </si>
  <si>
    <t>Payments</t>
  </si>
  <si>
    <t>Inter-</t>
  </si>
  <si>
    <t>in Lieu</t>
  </si>
  <si>
    <t>Note</t>
  </si>
  <si>
    <t>Bond</t>
  </si>
  <si>
    <t>Financing</t>
  </si>
  <si>
    <t>governmental</t>
  </si>
  <si>
    <t>of Taxes</t>
  </si>
  <si>
    <t>Transfers in</t>
  </si>
  <si>
    <t>Advances in</t>
  </si>
  <si>
    <t>Proceeds</t>
  </si>
  <si>
    <t>Sources</t>
  </si>
  <si>
    <t>General Fund Expenditures - Modified Accrual Basis of Accounting</t>
  </si>
  <si>
    <t>Debt Service</t>
  </si>
  <si>
    <t>Other Financing Uses</t>
  </si>
  <si>
    <t>Net</t>
  </si>
  <si>
    <t>All</t>
  </si>
  <si>
    <t>Expenditures</t>
  </si>
  <si>
    <t>Change in</t>
  </si>
  <si>
    <t>Balance</t>
  </si>
  <si>
    <t>Principal</t>
  </si>
  <si>
    <t>Advances</t>
  </si>
  <si>
    <t>End</t>
  </si>
  <si>
    <t>Fund Bal.</t>
  </si>
  <si>
    <t>Outlay</t>
  </si>
  <si>
    <t>Uses</t>
  </si>
  <si>
    <t>Other Uses</t>
  </si>
  <si>
    <t>Summary Data from the Governmental Fund Balance Sheet</t>
  </si>
  <si>
    <t>Governmental Fund Revenues - Modified Accrual Basis of Accounting</t>
  </si>
  <si>
    <t>Miscellaneous</t>
  </si>
  <si>
    <t>Long-Term Obligations</t>
  </si>
  <si>
    <t>Due in More</t>
  </si>
  <si>
    <t>Than One Year/Tie</t>
  </si>
  <si>
    <t>Obligation</t>
  </si>
  <si>
    <t>Notes</t>
  </si>
  <si>
    <t>Compensated</t>
  </si>
  <si>
    <t>Due within</t>
  </si>
  <si>
    <t xml:space="preserve">to Statement of </t>
  </si>
  <si>
    <t>Bonds</t>
  </si>
  <si>
    <t>Loans</t>
  </si>
  <si>
    <t>Payables</t>
  </si>
  <si>
    <t>Leases</t>
  </si>
  <si>
    <t>Absences</t>
  </si>
  <si>
    <t>Obligations</t>
  </si>
  <si>
    <t>One Year</t>
  </si>
  <si>
    <t>Lorain</t>
  </si>
  <si>
    <t>Ashland</t>
  </si>
  <si>
    <t>Ashtabula</t>
  </si>
  <si>
    <t>Athens</t>
  </si>
  <si>
    <t>Lake</t>
  </si>
  <si>
    <t>Butler</t>
  </si>
  <si>
    <t>Athens-Meigs Educ Srv Ctr</t>
  </si>
  <si>
    <t>Belmont</t>
  </si>
  <si>
    <t>Brown</t>
  </si>
  <si>
    <t>Champaign</t>
  </si>
  <si>
    <t>Clark</t>
  </si>
  <si>
    <t>Clermont County Educ Srv Ctr</t>
  </si>
  <si>
    <t>Clermont</t>
  </si>
  <si>
    <t>Clinton</t>
  </si>
  <si>
    <t>Columbiana</t>
  </si>
  <si>
    <t>Cuyahoga</t>
  </si>
  <si>
    <t>Darke</t>
  </si>
  <si>
    <t>Delaware</t>
  </si>
  <si>
    <t>Erie</t>
  </si>
  <si>
    <t>Fairfield</t>
  </si>
  <si>
    <t>Franklin</t>
  </si>
  <si>
    <t>Northwest Ohio Educ Srv Ctr</t>
  </si>
  <si>
    <t>Gallia-Vinton Educ Srv Ctr</t>
  </si>
  <si>
    <t>Gallia</t>
  </si>
  <si>
    <t>Geauga</t>
  </si>
  <si>
    <t>Greene</t>
  </si>
  <si>
    <t>Hamilton</t>
  </si>
  <si>
    <t>Hancock</t>
  </si>
  <si>
    <t>Jefferson</t>
  </si>
  <si>
    <t>Knox</t>
  </si>
  <si>
    <t>Lawrence</t>
  </si>
  <si>
    <t>Licking</t>
  </si>
  <si>
    <t>Logan</t>
  </si>
  <si>
    <t>Lucas</t>
  </si>
  <si>
    <t>Mahoning</t>
  </si>
  <si>
    <t>Medina County Educ Srv Ctr</t>
  </si>
  <si>
    <t>Medina</t>
  </si>
  <si>
    <t>Mercer</t>
  </si>
  <si>
    <t>Miami</t>
  </si>
  <si>
    <t>Montgomery</t>
  </si>
  <si>
    <t>Muskingum Valley Educ Srv Ctr</t>
  </si>
  <si>
    <t>Muskingum</t>
  </si>
  <si>
    <t>Perry-Hocking Educ Srv Ctr</t>
  </si>
  <si>
    <t>Perry</t>
  </si>
  <si>
    <t>Pickaway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</si>
  <si>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</si>
  <si>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</si>
  <si>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</si>
  <si>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</si>
  <si>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</si>
  <si>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</si>
  <si>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</si>
  <si>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</si>
  <si>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</si>
  <si>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</si>
  <si>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</si>
  <si>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</si>
  <si>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</si>
  <si>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Western Buckeye Educ Srv Ctr</t>
  </si>
  <si>
    <t>Van Wert</t>
  </si>
  <si>
    <t>Warren</t>
  </si>
  <si>
    <t>Washington</t>
  </si>
  <si>
    <t>Tri-County Educ Srv Ctr</t>
  </si>
  <si>
    <t>Wayne</t>
  </si>
  <si>
    <t>Wood</t>
  </si>
  <si>
    <t>Ashtabula County JVSD</t>
  </si>
  <si>
    <t>Southern Hills JVSD</t>
  </si>
  <si>
    <t>U S Grant JVSD</t>
  </si>
  <si>
    <t>Coshocton</t>
  </si>
  <si>
    <t>Gallia-Jackson-Vinton JVSD</t>
  </si>
  <si>
    <t>Henry</t>
  </si>
  <si>
    <t>Jefferson County JVSD</t>
  </si>
  <si>
    <t>Lawrence County JVSD</t>
  </si>
  <si>
    <t>Ohio Hi-Point JVSD</t>
  </si>
  <si>
    <t>Lorain County JVSD</t>
  </si>
  <si>
    <t>Madison</t>
  </si>
  <si>
    <t>Tri-Rivers JVSD</t>
  </si>
  <si>
    <t>Marion</t>
  </si>
  <si>
    <t>Medina County JVSD</t>
  </si>
  <si>
    <t>Upper Valley JVSD</t>
  </si>
  <si>
    <t>Pike</t>
  </si>
  <si>
    <t>Stark County Area JVSD</t>
  </si>
  <si>
    <t>Buckeye JVSD</t>
  </si>
  <si>
    <t>Warren County JVSD</t>
  </si>
  <si>
    <t>Proceeds From</t>
  </si>
  <si>
    <t>Lease</t>
  </si>
  <si>
    <t>Sale of</t>
  </si>
  <si>
    <t>Inventory</t>
  </si>
  <si>
    <t>in Reserve for</t>
  </si>
  <si>
    <t>Refund of</t>
  </si>
  <si>
    <t>Prior Year's</t>
  </si>
  <si>
    <t xml:space="preserve">Refund of </t>
  </si>
  <si>
    <t xml:space="preserve">Prior Year's </t>
  </si>
  <si>
    <t>Inception</t>
  </si>
  <si>
    <t>of Capital</t>
  </si>
  <si>
    <t>Inception of</t>
  </si>
  <si>
    <t xml:space="preserve"> Other</t>
  </si>
  <si>
    <t>Receipts</t>
  </si>
  <si>
    <t>Property and</t>
  </si>
  <si>
    <t>Other Local</t>
  </si>
  <si>
    <t>(Decrease)</t>
  </si>
  <si>
    <t>Increase or</t>
  </si>
  <si>
    <t>Special Items</t>
  </si>
  <si>
    <t>In / (Out)</t>
  </si>
  <si>
    <t>Ashland County-West Holmes JVSD</t>
  </si>
  <si>
    <t>Delaware Area Career Center</t>
  </si>
  <si>
    <t>Cuyahoga Valley Career Center</t>
  </si>
  <si>
    <t>Ehove Career Center</t>
  </si>
  <si>
    <t>Coshocton County Career Center</t>
  </si>
  <si>
    <t>Four County Career Center</t>
  </si>
  <si>
    <t>Knox County Career Center</t>
  </si>
  <si>
    <t>Maplewood Career Center</t>
  </si>
  <si>
    <t>Pike County JVSD</t>
  </si>
  <si>
    <t>Polaris Career Center</t>
  </si>
  <si>
    <t>Portage Lakes Career Center</t>
  </si>
  <si>
    <t>Scioto County JVSD</t>
  </si>
  <si>
    <t>Vanguard-Sentinel Career Center</t>
  </si>
  <si>
    <t>Vantage Career Center</t>
  </si>
  <si>
    <t>Wayne County JVSD</t>
  </si>
  <si>
    <t>Career Centers/Joint Vocational School Districts</t>
  </si>
  <si>
    <t>Educational Service Centers</t>
  </si>
  <si>
    <t>(Continued)</t>
  </si>
  <si>
    <t>All Career Centers/Joint Vocational School Districts and Educantional Service Centers Reporting Under GAAP</t>
  </si>
  <si>
    <t>Governmental Fund Expenditures - Modified Accrual Basis of Accounting</t>
  </si>
  <si>
    <t>All Career Centers/Joint Vocational School Districts and Educational Service Centers Reporting Under GAAP</t>
  </si>
  <si>
    <t>Paulding</t>
  </si>
  <si>
    <t>Guernsey</t>
  </si>
  <si>
    <t>Allen</t>
  </si>
  <si>
    <t>Auglaize</t>
  </si>
  <si>
    <t>Southern Ohio Educ Srv Ctr</t>
  </si>
  <si>
    <t>South Central Ohio Educ Srv Ctr</t>
  </si>
  <si>
    <t>Washington County Career Center</t>
  </si>
  <si>
    <t>North Central Ohio Educ Srv Ctr</t>
  </si>
  <si>
    <t xml:space="preserve">Expenses from the Statement of Activities - Governmental Activities </t>
  </si>
  <si>
    <t>Total Program</t>
  </si>
  <si>
    <t xml:space="preserve">and General </t>
  </si>
  <si>
    <t xml:space="preserve">Revenues, </t>
  </si>
  <si>
    <t>Transfers, and</t>
  </si>
  <si>
    <t>Revenues, Other</t>
  </si>
  <si>
    <t>Financing Sources</t>
  </si>
  <si>
    <t>and Extraordinary/</t>
  </si>
  <si>
    <t>Springfield-Clark Co Career Tech Center</t>
  </si>
  <si>
    <t>Butler Technology and Career Development</t>
  </si>
  <si>
    <t>Columbiana County Career &amp; Technical Center</t>
  </si>
  <si>
    <t>Central Ohio JVSD- now Tolles Career &amp; Technical Center since 2005</t>
  </si>
  <si>
    <t>Tolles Career and Technical Center</t>
  </si>
  <si>
    <t>Career and Technology Education Centers of Licking County</t>
  </si>
  <si>
    <t>Erie-Huron-Ottawa Educ Srv Ctr-now North Point ESC</t>
  </si>
  <si>
    <t>Mid-Ohio Educ Srv Ctr  (CASH)</t>
  </si>
  <si>
    <t>Clinton Fayette Highland Educ-now Southern Ohio ESC</t>
  </si>
  <si>
    <t>District</t>
  </si>
  <si>
    <t>Non-Instructional Services</t>
  </si>
  <si>
    <t>As of June 30, 2011</t>
  </si>
  <si>
    <t>For the Fiscal Year Ended June 30, 2011</t>
  </si>
  <si>
    <t>Nonspendable</t>
  </si>
  <si>
    <t>Committed</t>
  </si>
  <si>
    <t>Assigned</t>
  </si>
  <si>
    <t>Unassigned</t>
  </si>
  <si>
    <t>No longer cash for 2010</t>
  </si>
  <si>
    <t>now Tolles Career &amp; Technical Center since 2005.  See below.</t>
  </si>
  <si>
    <t>Totals pulled from AOS website.</t>
  </si>
  <si>
    <t>Apollo Career Center</t>
  </si>
  <si>
    <t>Eastland-Fairfield Career and Tech Center</t>
  </si>
  <si>
    <t>Licking Co Career &amp; Tech Center</t>
  </si>
  <si>
    <t>Mahoning Co Career &amp; Tech Center</t>
  </si>
  <si>
    <t>Miami Valley Career Tech Center</t>
  </si>
  <si>
    <t>Pioneer Career &amp; Tech Center</t>
  </si>
  <si>
    <t>Tri County Career Center</t>
  </si>
  <si>
    <t>Trumbull Career &amp; Tech Center</t>
  </si>
  <si>
    <t>now Southern Ohio ESC since 2005.  See below.</t>
  </si>
  <si>
    <t>called Educational Service Center of Cuyahoga County</t>
  </si>
  <si>
    <t>now with Franklin Co as Educational Service Center of Central Ohio since December 31, 2008</t>
  </si>
  <si>
    <t>was Tuscarawas-Carroll-Harrison ESC and Belmont County ESC</t>
  </si>
  <si>
    <t>now North Point ESC since July 1, 2008.  See below.</t>
  </si>
  <si>
    <t>also includes Delaware and Union Co in Educational Service Center of Central Ohio since December 31, 2008</t>
  </si>
  <si>
    <t>box report not balanced - pulled from AOS</t>
  </si>
  <si>
    <t>As of June 30, 2008, the Center disbanded based on section 3311.051 of the Ohio Revised Code and was merged into two other ESC's (North Central Ohio ESC &amp; North Point ESC).</t>
  </si>
  <si>
    <t>Brown County Educ Srv Ctr</t>
  </si>
  <si>
    <t>Butler County Educ Srv Ctr</t>
  </si>
  <si>
    <t>Clark County Educ Srv Ctr</t>
  </si>
  <si>
    <t>Auburn VSD</t>
  </si>
  <si>
    <t>Belmont-Harrison VSD</t>
  </si>
  <si>
    <t>Great Oaks Inst of Technology &amp; Career Development</t>
  </si>
  <si>
    <t>Greene County Educ Srv Ctr</t>
  </si>
  <si>
    <t>Hamilton County Educ Srv Ctr</t>
  </si>
  <si>
    <t>Hancock County Educ Srv Ctr</t>
  </si>
  <si>
    <t>Hardin County Educ Srv Ctr</t>
  </si>
  <si>
    <t>Jefferson County Educ Srv Ctr</t>
  </si>
  <si>
    <t>Knox County Educ Srv Ctr</t>
  </si>
  <si>
    <t>Lake County Educ Srv Ctr</t>
  </si>
  <si>
    <t>Lawrence County Educ Srv Ctr</t>
  </si>
  <si>
    <t>Licking County Educ Srv Ctr</t>
  </si>
  <si>
    <t>Logan County Educ Srv Ctr</t>
  </si>
  <si>
    <t>Lorain County Educ Srv Ctr</t>
  </si>
  <si>
    <t>Lucas County Educ Srv Ctr</t>
  </si>
  <si>
    <t>North Point Educ Srv Ctr</t>
  </si>
  <si>
    <t>Sandusky Educ Srv Ctr - merged with two other ESC</t>
  </si>
  <si>
    <t>Tuscarawas-Carroll-Harrison Educ Srv Ctr - now East Ctl OH ESC</t>
  </si>
  <si>
    <t>Washington Educ Srv Ctr - merged with Ohio Valley ESC</t>
  </si>
  <si>
    <t>East Central Ohio Educ Srv Ctr</t>
  </si>
  <si>
    <t>Columbiana County Educ Srv Ctr</t>
  </si>
  <si>
    <t>Delaware-Union Educ Srv Ctr - see note to right</t>
  </si>
  <si>
    <t>Cuyahoga Educ Srv Ctr-now Educ Srv Ctr of Cuyahoga County</t>
  </si>
  <si>
    <t>Within 1 Yr</t>
  </si>
  <si>
    <t>here</t>
  </si>
  <si>
    <t>St of Act - Rev</t>
  </si>
  <si>
    <t>St of Act - Exp</t>
  </si>
  <si>
    <t>Gen Fund BS</t>
  </si>
  <si>
    <t>Gen Fund Rev</t>
  </si>
  <si>
    <t>here - 1st</t>
  </si>
  <si>
    <t>here - 2nd</t>
  </si>
  <si>
    <t>here - 3rd</t>
  </si>
  <si>
    <t>Gen Fund - Exp</t>
  </si>
  <si>
    <t>here 2nd</t>
  </si>
  <si>
    <t>Gov Fund BS</t>
  </si>
  <si>
    <t>here 1st</t>
  </si>
  <si>
    <t>here 3rd</t>
  </si>
  <si>
    <t>Gov Fund Rev</t>
  </si>
  <si>
    <t>Gov Fund Exp</t>
  </si>
  <si>
    <t>Ohio Valley Educ Srv Ctr</t>
  </si>
  <si>
    <t>county</t>
  </si>
  <si>
    <t>St of Act-Rev county</t>
  </si>
  <si>
    <t>St of Act - Exp county</t>
  </si>
  <si>
    <t>county 2nd</t>
  </si>
  <si>
    <t>county 3rd</t>
  </si>
  <si>
    <t>Gen Fund Rev county</t>
  </si>
  <si>
    <t>Gen Fund - Exp county</t>
  </si>
  <si>
    <t>Gov Fund BS county</t>
  </si>
  <si>
    <t>county 3</t>
  </si>
  <si>
    <t>Gov Fund Rev county</t>
  </si>
  <si>
    <t>Gov Fund Exp county</t>
  </si>
  <si>
    <t>Darke County Educ Srv Ctr (CASH)</t>
  </si>
  <si>
    <t>still Cash for 2010 &amp; 2011</t>
  </si>
  <si>
    <t xml:space="preserve"> In some instances, numbers were rounded on the financial statements.</t>
  </si>
  <si>
    <t>Adult/Continuing</t>
  </si>
  <si>
    <t>In some instances, numbers were rounded on the financial statements.</t>
  </si>
  <si>
    <t>Taxes (1)</t>
  </si>
  <si>
    <t>Educational Service Center of Central Ohio</t>
  </si>
  <si>
    <t>pulled from AOS</t>
  </si>
  <si>
    <t>Geauga County Educ Srv Ctr</t>
  </si>
  <si>
    <t>Fairfield County Educ Srv Ctr</t>
  </si>
  <si>
    <t>Greene County VSD</t>
  </si>
  <si>
    <t>In 2011, "Financing District" from Agency to Special Revenue</t>
  </si>
  <si>
    <t>called Educational Service Center of Lorain County on Report - but in L Box</t>
  </si>
  <si>
    <t>Licking County Joint Vocational School - which is now Career and Technology Education Center of Licking County (C-TEC). See above.</t>
  </si>
  <si>
    <t>2011 Cash</t>
  </si>
  <si>
    <t>Madison-Champaign Educ Srv Ctr (CASH)</t>
  </si>
  <si>
    <t>Mahoning County Educ Srv Ctr</t>
  </si>
  <si>
    <t>still cash for 2010 &amp; 2011</t>
  </si>
  <si>
    <t>Mercer County Educ Srv Ctr (CASH)</t>
  </si>
  <si>
    <t>Miami County Educ Srv Ctr</t>
  </si>
  <si>
    <t>pulled balanced Income Statement from AOS</t>
  </si>
  <si>
    <t>Mid-East Career &amp; Tech Centers</t>
  </si>
  <si>
    <t>Montgomery County Educ Srv Ctr</t>
  </si>
  <si>
    <t>Fulton</t>
  </si>
  <si>
    <t>Fulton County to Henry County in 2005 - then Henry to Fulton in 2009</t>
  </si>
  <si>
    <t>Report in Box not complete - pulled complete report from AOS</t>
  </si>
  <si>
    <t>Penta Career Center</t>
  </si>
  <si>
    <t>In 2004, formally changed name from JVS to Career Center</t>
  </si>
  <si>
    <t>No Report in Box.  Pulled from AOS on 01-02-13 - but still Cash.  Still Cash for 2010 and 2011.</t>
  </si>
  <si>
    <t>Report in box is not balanced.  NO report on AOS yet.</t>
  </si>
  <si>
    <t>On 12/31/11, Merged with Muskingum Valley ESC.</t>
  </si>
  <si>
    <t>Pickaway-Ross Career &amp; Tech Center</t>
  </si>
  <si>
    <t>Portage County Educ Srv Ctr</t>
  </si>
  <si>
    <t>Preble County Educ Srv Ctr (CASH)</t>
  </si>
  <si>
    <t>Still cash for 2010 and 2011</t>
  </si>
  <si>
    <t>Putnam County Educ Srv Ctr</t>
  </si>
  <si>
    <t>Ross-Pike Educ Srv District</t>
  </si>
  <si>
    <t>still Cash for 2010 &amp; 2011 and 2 year report</t>
  </si>
  <si>
    <t>Allen County Educ Srv Ctr (CASH)</t>
  </si>
  <si>
    <t>Ashtabula County Educ Srv Ctr (CASH)</t>
  </si>
  <si>
    <t>Auglaize County Educ Srv Ctr (CASH)</t>
  </si>
  <si>
    <t>Shelby County Educ Srv Ctr</t>
  </si>
  <si>
    <t>Files GPFS in box and Cash Basis on AOS.  Used GPFS</t>
  </si>
  <si>
    <t xml:space="preserve">Stark County Educ Srv Ctr  </t>
  </si>
  <si>
    <t>Summit County Educ Srv Ctr</t>
  </si>
  <si>
    <t>Pickaway County Educ Srv Ctr</t>
  </si>
  <si>
    <t>Trumbull County Educ Srv Ctr</t>
  </si>
  <si>
    <t>Wood County Educ Srv Ctr</t>
  </si>
  <si>
    <t>Warren County Educ Srv Ctr (CASH)</t>
  </si>
  <si>
    <t>box already returned. Pulled from AOS</t>
  </si>
  <si>
    <t>Fund Balances</t>
  </si>
  <si>
    <t>General Revenues - Governmental Activities</t>
  </si>
  <si>
    <t>(continued)</t>
  </si>
  <si>
    <t>Support Services (continued)</t>
  </si>
  <si>
    <t>Other Financing Sources (continued)</t>
  </si>
  <si>
    <t>Pupils</t>
  </si>
  <si>
    <t>Regular</t>
  </si>
  <si>
    <t>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</si>
</sst>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_);\(0\)"/>
  </numFmts>
  <fonts count="9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u/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7.5"/>
      <name val="Times New Roman"/>
      <family val="1"/>
    </font>
    <font>
      <sz val="9"/>
      <color rgb="FFFFC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/>
    <xf numFmtId="3" fontId="5" fillId="0" borderId="0" applyFont="0" applyFill="0" applyBorder="0" applyAlignment="0" applyProtection="0"/>
  </cellStyleXfs>
  <cellXfs count="104">
    <xf numFmtId="0" fontId="0" fillId="0" borderId="0" xfId="0"/>
    <xf numFmtId="37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37" fontId="1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/>
    <xf numFmtId="37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37" fontId="4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/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5" fontId="2" fillId="0" borderId="0" xfId="1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/>
    <xf numFmtId="37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 wrapText="1"/>
    </xf>
    <xf numFmtId="0" fontId="2" fillId="0" borderId="0" xfId="0" applyFont="1" applyFill="1" applyBorder="1"/>
    <xf numFmtId="37" fontId="1" fillId="0" borderId="0" xfId="0" applyNumberFormat="1" applyFont="1" applyFill="1" applyAlignment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37" fontId="7" fillId="0" borderId="0" xfId="0" applyNumberFormat="1" applyFont="1" applyFill="1" applyAlignment="1"/>
    <xf numFmtId="37" fontId="6" fillId="0" borderId="0" xfId="0" applyNumberFormat="1" applyFont="1" applyFill="1"/>
    <xf numFmtId="37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37" fontId="2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Continuous"/>
    </xf>
    <xf numFmtId="37" fontId="1" fillId="0" borderId="1" xfId="0" applyNumberFormat="1" applyFont="1" applyFill="1" applyBorder="1" applyAlignment="1">
      <alignment horizontal="centerContinuous"/>
    </xf>
    <xf numFmtId="37" fontId="2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centerContinuous"/>
    </xf>
    <xf numFmtId="37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37" fontId="2" fillId="2" borderId="0" xfId="0" applyNumberFormat="1" applyFont="1" applyFill="1"/>
    <xf numFmtId="0" fontId="2" fillId="2" borderId="0" xfId="0" applyFont="1" applyFill="1"/>
    <xf numFmtId="37" fontId="2" fillId="2" borderId="0" xfId="0" applyNumberFormat="1" applyFont="1" applyFill="1" applyAlignment="1">
      <alignment horizontal="right"/>
    </xf>
    <xf numFmtId="5" fontId="2" fillId="2" borderId="0" xfId="0" applyNumberFormat="1" applyFont="1" applyFill="1"/>
    <xf numFmtId="37" fontId="2" fillId="2" borderId="0" xfId="0" applyNumberFormat="1" applyFont="1" applyFill="1" applyAlignment="1">
      <alignment horizontal="right" wrapText="1"/>
    </xf>
    <xf numFmtId="37" fontId="2" fillId="2" borderId="0" xfId="0" applyNumberFormat="1" applyFont="1" applyFill="1" applyBorder="1" applyAlignment="1">
      <alignment horizontal="right"/>
    </xf>
    <xf numFmtId="5" fontId="2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37" fontId="2" fillId="2" borderId="0" xfId="1" applyNumberFormat="1" applyFont="1" applyFill="1" applyBorder="1" applyAlignment="1">
      <alignment horizontal="right"/>
    </xf>
    <xf numFmtId="37" fontId="6" fillId="2" borderId="0" xfId="0" applyNumberFormat="1" applyFont="1" applyFill="1"/>
    <xf numFmtId="37" fontId="2" fillId="2" borderId="0" xfId="0" applyNumberFormat="1" applyFont="1" applyFill="1" applyBorder="1"/>
    <xf numFmtId="164" fontId="2" fillId="2" borderId="0" xfId="0" applyNumberFormat="1" applyFont="1" applyFill="1"/>
    <xf numFmtId="0" fontId="7" fillId="0" borderId="0" xfId="0" applyFont="1" applyFill="1" applyAlignment="1"/>
    <xf numFmtId="5" fontId="2" fillId="0" borderId="0" xfId="0" applyNumberFormat="1" applyFont="1" applyFill="1" applyAlignment="1"/>
    <xf numFmtId="37" fontId="2" fillId="3" borderId="0" xfId="0" applyNumberFormat="1" applyFont="1" applyFill="1" applyAlignment="1"/>
    <xf numFmtId="37" fontId="2" fillId="2" borderId="0" xfId="0" applyNumberFormat="1" applyFont="1" applyFill="1" applyAlignment="1"/>
    <xf numFmtId="0" fontId="2" fillId="0" borderId="0" xfId="0" applyFont="1" applyFill="1" applyAlignment="1"/>
    <xf numFmtId="0" fontId="2" fillId="2" borderId="0" xfId="0" applyNumberFormat="1" applyFont="1" applyFill="1"/>
    <xf numFmtId="5" fontId="2" fillId="2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left"/>
    </xf>
    <xf numFmtId="5" fontId="2" fillId="0" borderId="0" xfId="0" applyNumberFormat="1" applyFont="1" applyFill="1" applyBorder="1"/>
    <xf numFmtId="5" fontId="6" fillId="0" borderId="0" xfId="0" applyNumberFormat="1" applyFont="1" applyFill="1"/>
    <xf numFmtId="3" fontId="6" fillId="0" borderId="0" xfId="0" applyNumberFormat="1" applyFont="1" applyFill="1"/>
    <xf numFmtId="37" fontId="6" fillId="0" borderId="0" xfId="0" applyNumberFormat="1" applyFont="1" applyFill="1" applyBorder="1"/>
    <xf numFmtId="37" fontId="8" fillId="0" borderId="0" xfId="0" applyNumberFormat="1" applyFont="1" applyFill="1"/>
    <xf numFmtId="37" fontId="1" fillId="0" borderId="0" xfId="0" applyNumberFormat="1" applyFont="1" applyFill="1" applyBorder="1" applyAlignment="1">
      <alignment horizontal="centerContinuous"/>
    </xf>
    <xf numFmtId="37" fontId="8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37" fontId="1" fillId="0" borderId="0" xfId="1" applyNumberFormat="1" applyFont="1" applyFill="1" applyBorder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colors>
    <mruColors>
      <color rgb="FF33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R130"/>
  <sheetViews>
    <sheetView view="pageBreakPreview" zoomScaleNormal="100" zoomScaleSheetLayoutView="100" workbookViewId="0">
      <pane xSplit="6" ySplit="10" topLeftCell="G50" activePane="bottomRight" state="frozen"/>
      <selection pane="topRight" activeCell="G1" sqref="G1"/>
      <selection pane="bottomLeft" activeCell="A11" sqref="A11"/>
      <selection pane="bottomRight" activeCell="A5" sqref="A5"/>
    </sheetView>
  </sheetViews>
  <sheetFormatPr defaultColWidth="9.140625" defaultRowHeight="12"/>
  <cols>
    <col min="1" max="1" width="40.7109375" style="3" customWidth="1"/>
    <col min="2" max="2" width="1.7109375" style="3" customWidth="1"/>
    <col min="3" max="3" width="10" style="3" customWidth="1"/>
    <col min="4" max="4" width="1.7109375" style="3" hidden="1" customWidth="1"/>
    <col min="5" max="5" width="6.7109375" style="12" hidden="1" customWidth="1"/>
    <col min="6" max="6" width="1.7109375" style="3" customWidth="1"/>
    <col min="7" max="7" width="11.7109375" style="3" customWidth="1"/>
    <col min="8" max="8" width="1.7109375" style="3" customWidth="1"/>
    <col min="9" max="9" width="11.7109375" style="3" customWidth="1"/>
    <col min="10" max="10" width="1.7109375" style="3" customWidth="1"/>
    <col min="11" max="11" width="11.7109375" style="3" customWidth="1"/>
    <col min="12" max="12" width="1.7109375" style="3" customWidth="1"/>
    <col min="13" max="13" width="11.7109375" style="3" customWidth="1"/>
    <col min="14" max="14" width="1.7109375" style="3" customWidth="1"/>
    <col min="15" max="15" width="11.7109375" style="3" customWidth="1"/>
    <col min="16" max="16" width="1.7109375" style="3" customWidth="1"/>
    <col min="17" max="17" width="11.7109375" style="3" customWidth="1"/>
    <col min="18" max="18" width="1.7109375" style="3" customWidth="1"/>
    <col min="19" max="19" width="11.7109375" style="3" customWidth="1"/>
    <col min="20" max="20" width="1.7109375" style="3" customWidth="1"/>
    <col min="21" max="21" width="11.7109375" style="3" customWidth="1"/>
    <col min="22" max="22" width="1.7109375" style="3" customWidth="1"/>
    <col min="23" max="23" width="11.7109375" style="3" customWidth="1"/>
    <col min="24" max="24" width="1.7109375" style="3" customWidth="1"/>
    <col min="25" max="25" width="11.7109375" style="3" customWidth="1"/>
    <col min="26" max="26" width="1.7109375" style="3" customWidth="1"/>
    <col min="27" max="27" width="11.7109375" style="3" customWidth="1"/>
    <col min="28" max="28" width="1.7109375" style="3" customWidth="1"/>
    <col min="29" max="29" width="11.7109375" style="3" customWidth="1"/>
    <col min="30" max="30" width="1.7109375" style="3" customWidth="1"/>
    <col min="31" max="31" width="11.7109375" style="3" customWidth="1"/>
    <col min="32" max="32" width="5.28515625" style="3" customWidth="1"/>
    <col min="33" max="33" width="22.85546875" style="3" customWidth="1"/>
    <col min="34" max="34" width="16.140625" style="3" customWidth="1"/>
    <col min="35" max="35" width="13.5703125" style="3" customWidth="1"/>
    <col min="36" max="36" width="14.28515625" style="3" customWidth="1"/>
    <col min="37" max="37" width="9.140625" style="3" customWidth="1"/>
    <col min="38" max="40" width="9.140625" style="3"/>
    <col min="41" max="41" width="16" style="3" bestFit="1" customWidth="1"/>
    <col min="42" max="42" width="9.140625" style="3"/>
    <col min="43" max="43" width="16.5703125" style="3" customWidth="1"/>
    <col min="44" max="16384" width="9.140625" style="3"/>
  </cols>
  <sheetData>
    <row r="1" spans="1:44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44">
      <c r="A2" s="7" t="s">
        <v>297</v>
      </c>
    </row>
    <row r="3" spans="1:44">
      <c r="A3" s="7" t="s">
        <v>266</v>
      </c>
      <c r="AC3" s="17" t="s">
        <v>266</v>
      </c>
    </row>
    <row r="4" spans="1:44">
      <c r="A4" s="7" t="s">
        <v>269</v>
      </c>
    </row>
    <row r="5" spans="1:44">
      <c r="A5" s="7"/>
    </row>
    <row r="6" spans="1:44">
      <c r="A6" s="35" t="s">
        <v>380</v>
      </c>
    </row>
    <row r="7" spans="1:44">
      <c r="A7" s="7"/>
    </row>
    <row r="8" spans="1:44">
      <c r="F8" s="1"/>
      <c r="G8" s="101" t="s">
        <v>2</v>
      </c>
      <c r="H8" s="101"/>
      <c r="I8" s="101"/>
      <c r="J8" s="101"/>
      <c r="K8" s="48"/>
      <c r="M8" s="101" t="s">
        <v>15</v>
      </c>
      <c r="N8" s="101"/>
      <c r="O8" s="101"/>
      <c r="P8" s="101"/>
      <c r="Q8" s="101"/>
      <c r="R8" s="48"/>
      <c r="S8" s="48"/>
      <c r="U8" s="101" t="s">
        <v>3</v>
      </c>
      <c r="V8" s="101"/>
      <c r="W8" s="101"/>
      <c r="X8" s="101"/>
      <c r="Y8" s="101"/>
      <c r="Z8" s="48"/>
      <c r="AA8" s="48"/>
      <c r="AC8" s="3" t="s">
        <v>4</v>
      </c>
      <c r="AE8" s="3" t="s">
        <v>4</v>
      </c>
    </row>
    <row r="9" spans="1:44">
      <c r="A9" s="22"/>
      <c r="F9" s="1"/>
      <c r="G9" s="11" t="s">
        <v>5</v>
      </c>
      <c r="H9" s="11"/>
      <c r="I9" s="11" t="s">
        <v>6</v>
      </c>
      <c r="J9" s="11"/>
      <c r="K9" s="2" t="s">
        <v>8</v>
      </c>
      <c r="M9" s="11" t="s">
        <v>5</v>
      </c>
      <c r="N9" s="11"/>
      <c r="O9" s="56" t="s">
        <v>9</v>
      </c>
      <c r="P9" s="56"/>
      <c r="Q9" s="56"/>
      <c r="R9" s="2"/>
      <c r="S9" s="2" t="s">
        <v>8</v>
      </c>
      <c r="U9" s="2" t="s">
        <v>10</v>
      </c>
      <c r="V9" s="2"/>
      <c r="W9" s="2"/>
      <c r="X9" s="2"/>
      <c r="Y9" s="2"/>
      <c r="Z9" s="2"/>
      <c r="AA9" s="2" t="s">
        <v>8</v>
      </c>
      <c r="AC9" s="3" t="s">
        <v>11</v>
      </c>
      <c r="AE9" s="3" t="s">
        <v>11</v>
      </c>
    </row>
    <row r="10" spans="1:44">
      <c r="A10" s="84" t="s">
        <v>295</v>
      </c>
      <c r="B10" s="11"/>
      <c r="C10" s="84" t="s">
        <v>12</v>
      </c>
      <c r="D10" s="11"/>
      <c r="E10" s="57" t="s">
        <v>13</v>
      </c>
      <c r="G10" s="84" t="s">
        <v>2</v>
      </c>
      <c r="H10" s="2"/>
      <c r="I10" s="84" t="s">
        <v>2</v>
      </c>
      <c r="J10" s="2"/>
      <c r="K10" s="84" t="s">
        <v>2</v>
      </c>
      <c r="L10" s="1"/>
      <c r="M10" s="84" t="s">
        <v>15</v>
      </c>
      <c r="N10" s="2"/>
      <c r="O10" s="84" t="s">
        <v>348</v>
      </c>
      <c r="P10" s="2"/>
      <c r="Q10" s="84" t="s">
        <v>16</v>
      </c>
      <c r="R10" s="2"/>
      <c r="S10" s="84" t="s">
        <v>15</v>
      </c>
      <c r="T10" s="1"/>
      <c r="U10" s="84" t="s">
        <v>17</v>
      </c>
      <c r="V10" s="2"/>
      <c r="W10" s="84" t="s">
        <v>18</v>
      </c>
      <c r="X10" s="2"/>
      <c r="Y10" s="84" t="s">
        <v>19</v>
      </c>
      <c r="Z10" s="2"/>
      <c r="AA10" s="84" t="s">
        <v>3</v>
      </c>
      <c r="AC10" s="58" t="s">
        <v>20</v>
      </c>
      <c r="AE10" s="58" t="s">
        <v>20</v>
      </c>
      <c r="AF10" s="1"/>
      <c r="AG10" s="1"/>
    </row>
    <row r="11" spans="1:44">
      <c r="A11" s="2"/>
      <c r="B11" s="11"/>
      <c r="C11" s="2"/>
      <c r="D11" s="11"/>
      <c r="E11" s="59"/>
      <c r="G11" s="2"/>
      <c r="H11" s="2"/>
      <c r="I11" s="2"/>
      <c r="J11" s="2"/>
      <c r="K11" s="2"/>
      <c r="L11" s="1"/>
      <c r="M11" s="2"/>
      <c r="N11" s="2"/>
      <c r="O11" s="2"/>
      <c r="P11" s="2"/>
      <c r="Q11" s="2"/>
      <c r="R11" s="2"/>
      <c r="S11" s="2"/>
      <c r="T11" s="1"/>
      <c r="U11" s="2"/>
      <c r="V11" s="2"/>
      <c r="W11" s="2"/>
      <c r="X11" s="2"/>
      <c r="Y11" s="2"/>
      <c r="Z11" s="2"/>
      <c r="AA11" s="2"/>
      <c r="AC11" s="1"/>
      <c r="AE11" s="1"/>
      <c r="AF11" s="1"/>
      <c r="AG11" s="1"/>
    </row>
    <row r="12" spans="1:44" ht="11.45" customHeight="1">
      <c r="A12" s="13" t="s">
        <v>264</v>
      </c>
      <c r="G12" s="2"/>
      <c r="H12" s="2"/>
      <c r="I12" s="2"/>
      <c r="J12" s="2"/>
      <c r="K12" s="2"/>
      <c r="L12" s="1"/>
      <c r="M12" s="2"/>
      <c r="N12" s="2"/>
      <c r="O12" s="2"/>
      <c r="P12" s="2"/>
      <c r="Q12" s="2"/>
      <c r="R12" s="2"/>
      <c r="S12" s="2"/>
      <c r="T12" s="1"/>
      <c r="U12" s="2"/>
      <c r="V12" s="2"/>
      <c r="W12" s="2"/>
      <c r="X12" s="2"/>
      <c r="Y12" s="2"/>
      <c r="Z12" s="2"/>
      <c r="AA12" s="2"/>
      <c r="AH12" s="3" t="s">
        <v>349</v>
      </c>
      <c r="AI12" s="3" t="s">
        <v>350</v>
      </c>
      <c r="AK12" s="3" t="s">
        <v>351</v>
      </c>
      <c r="AN12" s="3" t="s">
        <v>365</v>
      </c>
      <c r="AO12" s="3" t="s">
        <v>366</v>
      </c>
      <c r="AQ12" s="3" t="s">
        <v>367</v>
      </c>
    </row>
    <row r="13" spans="1:44" ht="11.45" customHeight="1">
      <c r="A13" s="13"/>
      <c r="G13" s="2"/>
      <c r="H13" s="2"/>
      <c r="I13" s="2"/>
      <c r="J13" s="2"/>
      <c r="K13" s="2"/>
      <c r="L13" s="1"/>
      <c r="M13" s="2"/>
      <c r="N13" s="2"/>
      <c r="O13" s="2"/>
      <c r="P13" s="2"/>
      <c r="Q13" s="2"/>
      <c r="R13" s="2"/>
      <c r="S13" s="2"/>
      <c r="T13" s="1"/>
      <c r="U13" s="2"/>
      <c r="V13" s="2"/>
      <c r="W13" s="2"/>
      <c r="X13" s="2"/>
      <c r="Y13" s="2"/>
      <c r="Z13" s="2"/>
      <c r="AA13" s="2"/>
    </row>
    <row r="14" spans="1:44">
      <c r="A14" s="3" t="s">
        <v>306</v>
      </c>
      <c r="C14" s="3" t="s">
        <v>272</v>
      </c>
      <c r="G14" s="20">
        <f>+K14-I14</f>
        <v>9871258</v>
      </c>
      <c r="H14" s="20"/>
      <c r="I14" s="20">
        <f>320294+4489831</f>
        <v>4810125</v>
      </c>
      <c r="J14" s="20"/>
      <c r="K14" s="20">
        <v>14681383</v>
      </c>
      <c r="L14" s="20"/>
      <c r="M14" s="20">
        <f>+S14-O14-Q14</f>
        <v>4121022</v>
      </c>
      <c r="N14" s="20"/>
      <c r="O14" s="20">
        <v>203637</v>
      </c>
      <c r="P14" s="20"/>
      <c r="Q14" s="20">
        <v>804659</v>
      </c>
      <c r="R14" s="20"/>
      <c r="S14" s="20">
        <v>5129318</v>
      </c>
      <c r="T14" s="20"/>
      <c r="U14" s="20">
        <v>4463459</v>
      </c>
      <c r="V14" s="20"/>
      <c r="W14" s="20">
        <f>AA14-Y14-U14</f>
        <v>1514048</v>
      </c>
      <c r="X14" s="20"/>
      <c r="Y14" s="20">
        <v>3574558</v>
      </c>
      <c r="Z14" s="20"/>
      <c r="AA14" s="20">
        <v>9552065</v>
      </c>
      <c r="AC14" s="3">
        <f>+K14-S14-AA14</f>
        <v>0</v>
      </c>
      <c r="AE14" s="3">
        <f>+G14+I14-M14-O14-U14-W14-Y14-Q14</f>
        <v>0</v>
      </c>
      <c r="AG14" s="16" t="s">
        <v>303</v>
      </c>
      <c r="AH14" s="3" t="str">
        <f>A14</f>
        <v>Apollo Career Center</v>
      </c>
      <c r="AI14" s="3" t="str">
        <f>'St of Act-Rev'!A14</f>
        <v>Apollo Career Center</v>
      </c>
      <c r="AJ14" s="3" t="b">
        <f>AH14=AI14</f>
        <v>1</v>
      </c>
      <c r="AK14" s="3" t="str">
        <f>'St of Act-Exp'!A14</f>
        <v>Apollo Career Center</v>
      </c>
      <c r="AL14" s="3" t="b">
        <f>A14=AK14</f>
        <v>1</v>
      </c>
      <c r="AN14" s="3" t="str">
        <f>C14</f>
        <v>Allen</v>
      </c>
      <c r="AO14" s="3" t="str">
        <f>'St of Act-Rev'!C14</f>
        <v>Allen</v>
      </c>
      <c r="AP14" s="3" t="b">
        <f>C14='St of Act-Rev'!C14</f>
        <v>1</v>
      </c>
      <c r="AQ14" s="3" t="str">
        <f>'St of Act-Exp'!C14</f>
        <v>Allen</v>
      </c>
      <c r="AR14" s="3" t="b">
        <f>C14='St of Act-Exp'!C14</f>
        <v>1</v>
      </c>
    </row>
    <row r="15" spans="1:44">
      <c r="A15" s="3" t="s">
        <v>249</v>
      </c>
      <c r="C15" s="3" t="s">
        <v>146</v>
      </c>
      <c r="E15" s="12">
        <v>62042</v>
      </c>
      <c r="G15" s="3">
        <f>+K15-I15</f>
        <v>9247369</v>
      </c>
      <c r="I15" s="3">
        <f>50000+5124836</f>
        <v>5174836</v>
      </c>
      <c r="K15" s="3">
        <v>14422205</v>
      </c>
      <c r="M15" s="3">
        <f>+S15-O15-Q15</f>
        <v>2540124</v>
      </c>
      <c r="O15" s="3">
        <v>112394</v>
      </c>
      <c r="Q15" s="3">
        <v>1134760</v>
      </c>
      <c r="S15" s="3">
        <v>3787278</v>
      </c>
      <c r="U15" s="3">
        <v>4272131</v>
      </c>
      <c r="W15" s="3">
        <f>AA15-Y15-U15</f>
        <v>1111646</v>
      </c>
      <c r="Y15" s="3">
        <v>5251150</v>
      </c>
      <c r="AA15" s="3">
        <v>10634927</v>
      </c>
      <c r="AC15" s="3">
        <f>+K15-S15-AA15</f>
        <v>0</v>
      </c>
      <c r="AE15" s="3">
        <f>+G15+I15-M15-O15-U15-W15-Y15-Q15</f>
        <v>0</v>
      </c>
      <c r="AH15" s="3" t="str">
        <f t="shared" ref="AH15:AH79" si="0">A15</f>
        <v>Ashland County-West Holmes JVSD</v>
      </c>
      <c r="AI15" s="3" t="str">
        <f>'St of Act-Rev'!A15</f>
        <v>Ashland County-West Holmes JVSD</v>
      </c>
      <c r="AJ15" s="3" t="b">
        <f t="shared" ref="AJ15:AJ79" si="1">AH15=AI15</f>
        <v>1</v>
      </c>
      <c r="AK15" s="3" t="str">
        <f>'St of Act-Exp'!A15</f>
        <v>Ashland County-West Holmes JVSD</v>
      </c>
      <c r="AL15" s="3" t="b">
        <f t="shared" ref="AL15:AL78" si="2">A15=AK15</f>
        <v>1</v>
      </c>
      <c r="AN15" s="3" t="str">
        <f t="shared" ref="AN15:AN78" si="3">C15</f>
        <v>Ashland</v>
      </c>
      <c r="AO15" s="3" t="str">
        <f>'St of Act-Rev'!C15</f>
        <v>Ashland</v>
      </c>
      <c r="AP15" s="3" t="b">
        <f>C15='St of Act-Rev'!C15</f>
        <v>1</v>
      </c>
      <c r="AQ15" s="3" t="str">
        <f>'St of Act-Exp'!C15</f>
        <v>Ashland</v>
      </c>
      <c r="AR15" s="3" t="b">
        <f>C15='St of Act-Exp'!C15</f>
        <v>1</v>
      </c>
    </row>
    <row r="16" spans="1:44">
      <c r="A16" s="3" t="s">
        <v>210</v>
      </c>
      <c r="C16" s="3" t="s">
        <v>147</v>
      </c>
      <c r="E16" s="12">
        <v>50815</v>
      </c>
      <c r="G16" s="3">
        <f>+K16-I16</f>
        <v>16630541</v>
      </c>
      <c r="I16" s="3">
        <f>786782+3388178</f>
        <v>4174960</v>
      </c>
      <c r="K16" s="3">
        <v>20805501</v>
      </c>
      <c r="M16" s="3">
        <f>+S16-O16-Q16</f>
        <v>4106879</v>
      </c>
      <c r="O16" s="3">
        <v>134887</v>
      </c>
      <c r="Q16" s="3">
        <v>796545</v>
      </c>
      <c r="S16" s="3">
        <v>5038311</v>
      </c>
      <c r="U16" s="3">
        <v>4174960</v>
      </c>
      <c r="W16" s="3">
        <f>AA16-Y16-U16</f>
        <v>5379228</v>
      </c>
      <c r="Y16" s="3">
        <v>6213002</v>
      </c>
      <c r="AA16" s="3">
        <v>15767190</v>
      </c>
      <c r="AC16" s="3">
        <f t="shared" ref="AC16:AC64" si="4">+K16-S16-AA16</f>
        <v>0</v>
      </c>
      <c r="AE16" s="3">
        <f t="shared" ref="AE16:AE64" si="5">+G16+I16-M16-O16-U16-W16-Y16-Q16</f>
        <v>0</v>
      </c>
      <c r="AH16" s="3" t="str">
        <f t="shared" si="0"/>
        <v>Ashtabula County JVSD</v>
      </c>
      <c r="AI16" s="3" t="str">
        <f>'St of Act-Rev'!A16</f>
        <v>Ashtabula County JVSD</v>
      </c>
      <c r="AJ16" s="3" t="b">
        <f t="shared" si="1"/>
        <v>1</v>
      </c>
      <c r="AK16" s="3" t="str">
        <f>'St of Act-Exp'!A16</f>
        <v>Ashtabula County JVSD</v>
      </c>
      <c r="AL16" s="3" t="b">
        <f t="shared" si="2"/>
        <v>1</v>
      </c>
      <c r="AN16" s="3" t="str">
        <f t="shared" si="3"/>
        <v>Ashtabula</v>
      </c>
      <c r="AO16" s="3" t="str">
        <f>'St of Act-Rev'!C16</f>
        <v>Ashtabula</v>
      </c>
      <c r="AP16" s="3" t="b">
        <f>C16='St of Act-Rev'!C16</f>
        <v>1</v>
      </c>
      <c r="AQ16" s="3" t="str">
        <f>'St of Act-Exp'!C16</f>
        <v>Ashtabula</v>
      </c>
      <c r="AR16" s="3" t="b">
        <f>C16='St of Act-Exp'!C16</f>
        <v>1</v>
      </c>
    </row>
    <row r="17" spans="1:44">
      <c r="A17" s="3" t="s">
        <v>325</v>
      </c>
      <c r="C17" s="3" t="s">
        <v>149</v>
      </c>
      <c r="E17" s="12">
        <v>51169</v>
      </c>
      <c r="G17" s="3">
        <f t="shared" ref="G17:G87" si="6">+K17-I17</f>
        <v>14493206</v>
      </c>
      <c r="I17" s="3">
        <v>11947696</v>
      </c>
      <c r="K17" s="3">
        <v>26440902</v>
      </c>
      <c r="M17" s="3">
        <f t="shared" ref="M17:M87" si="7">+S17-O17-Q17</f>
        <v>6975929</v>
      </c>
      <c r="O17" s="3">
        <v>67326</v>
      </c>
      <c r="Q17" s="3">
        <v>661742</v>
      </c>
      <c r="S17" s="3">
        <v>7704997</v>
      </c>
      <c r="U17" s="3">
        <v>11947696</v>
      </c>
      <c r="W17" s="3">
        <f t="shared" ref="W17:W87" si="8">AA17-Y17-U17</f>
        <v>5786</v>
      </c>
      <c r="Y17" s="3">
        <v>6782423</v>
      </c>
      <c r="AA17" s="3">
        <v>18735905</v>
      </c>
      <c r="AC17" s="3">
        <f t="shared" si="4"/>
        <v>0</v>
      </c>
      <c r="AE17" s="3">
        <f t="shared" si="5"/>
        <v>0</v>
      </c>
      <c r="AH17" s="3" t="str">
        <f t="shared" si="0"/>
        <v>Auburn VSD</v>
      </c>
      <c r="AI17" s="3" t="str">
        <f>'St of Act-Rev'!A17</f>
        <v>Auburn VSD</v>
      </c>
      <c r="AJ17" s="3" t="b">
        <f t="shared" si="1"/>
        <v>1</v>
      </c>
      <c r="AK17" s="3" t="str">
        <f>'St of Act-Exp'!A17</f>
        <v>Auburn VSD</v>
      </c>
      <c r="AL17" s="3" t="b">
        <f t="shared" si="2"/>
        <v>1</v>
      </c>
      <c r="AN17" s="3" t="str">
        <f t="shared" si="3"/>
        <v>Lake</v>
      </c>
      <c r="AO17" s="3" t="str">
        <f>'St of Act-Rev'!C17</f>
        <v>Lake</v>
      </c>
      <c r="AP17" s="3" t="b">
        <f>C17='St of Act-Rev'!C17</f>
        <v>1</v>
      </c>
      <c r="AQ17" s="3" t="str">
        <f>'St of Act-Exp'!C17</f>
        <v>Lake</v>
      </c>
      <c r="AR17" s="3" t="b">
        <f>C17='St of Act-Exp'!C17</f>
        <v>1</v>
      </c>
    </row>
    <row r="18" spans="1:44">
      <c r="A18" s="3" t="s">
        <v>326</v>
      </c>
      <c r="C18" s="3" t="s">
        <v>152</v>
      </c>
      <c r="E18" s="12">
        <v>50856</v>
      </c>
      <c r="G18" s="3">
        <f t="shared" si="6"/>
        <v>2848502</v>
      </c>
      <c r="I18" s="3">
        <f>1090229+863079</f>
        <v>1953308</v>
      </c>
      <c r="K18" s="3">
        <v>4801810</v>
      </c>
      <c r="M18" s="3">
        <f t="shared" si="7"/>
        <v>2191690</v>
      </c>
      <c r="O18" s="3">
        <v>86611</v>
      </c>
      <c r="Q18" s="3">
        <v>1423827</v>
      </c>
      <c r="S18" s="3">
        <v>3702128</v>
      </c>
      <c r="U18" s="3">
        <v>1686639</v>
      </c>
      <c r="W18" s="3">
        <f t="shared" si="8"/>
        <v>103509</v>
      </c>
      <c r="Y18" s="3">
        <v>-690466</v>
      </c>
      <c r="AA18" s="3">
        <v>1099682</v>
      </c>
      <c r="AC18" s="3">
        <f t="shared" si="4"/>
        <v>0</v>
      </c>
      <c r="AE18" s="3">
        <f t="shared" si="5"/>
        <v>0</v>
      </c>
      <c r="AH18" s="3" t="str">
        <f t="shared" si="0"/>
        <v>Belmont-Harrison VSD</v>
      </c>
      <c r="AI18" s="3" t="str">
        <f>'St of Act-Rev'!A18</f>
        <v>Belmont-Harrison VSD</v>
      </c>
      <c r="AJ18" s="3" t="b">
        <f t="shared" si="1"/>
        <v>1</v>
      </c>
      <c r="AK18" s="3" t="str">
        <f>'St of Act-Exp'!A18</f>
        <v>Belmont-Harrison VSD</v>
      </c>
      <c r="AL18" s="3" t="b">
        <f t="shared" si="2"/>
        <v>1</v>
      </c>
      <c r="AN18" s="3" t="str">
        <f t="shared" si="3"/>
        <v>Belmont</v>
      </c>
      <c r="AO18" s="3" t="str">
        <f>'St of Act-Rev'!C18</f>
        <v>Belmont</v>
      </c>
      <c r="AP18" s="3" t="b">
        <f>C18='St of Act-Rev'!C18</f>
        <v>1</v>
      </c>
      <c r="AQ18" s="3" t="str">
        <f>'St of Act-Exp'!C18</f>
        <v>Belmont</v>
      </c>
      <c r="AR18" s="3" t="b">
        <f>C18='St of Act-Exp'!C18</f>
        <v>1</v>
      </c>
    </row>
    <row r="19" spans="1:44">
      <c r="A19" s="3" t="s">
        <v>227</v>
      </c>
      <c r="C19" s="3" t="s">
        <v>202</v>
      </c>
      <c r="E19" s="12">
        <v>51656</v>
      </c>
      <c r="G19" s="3">
        <f t="shared" si="6"/>
        <v>24516454</v>
      </c>
      <c r="I19" s="3">
        <v>4741054</v>
      </c>
      <c r="K19" s="3">
        <v>29257508</v>
      </c>
      <c r="M19" s="3">
        <f t="shared" si="7"/>
        <v>5441372</v>
      </c>
      <c r="O19" s="3">
        <v>84325</v>
      </c>
      <c r="Q19" s="3">
        <v>597926</v>
      </c>
      <c r="S19" s="3">
        <v>6123623</v>
      </c>
      <c r="U19" s="3">
        <v>4506145</v>
      </c>
      <c r="W19" s="3">
        <f t="shared" si="8"/>
        <v>6256462</v>
      </c>
      <c r="Y19" s="3">
        <v>12371278</v>
      </c>
      <c r="AA19" s="3">
        <v>23133885</v>
      </c>
      <c r="AC19" s="3">
        <f t="shared" si="4"/>
        <v>0</v>
      </c>
      <c r="AE19" s="3">
        <f t="shared" si="5"/>
        <v>0</v>
      </c>
      <c r="AH19" s="3" t="str">
        <f t="shared" si="0"/>
        <v>Buckeye JVSD</v>
      </c>
      <c r="AI19" s="3" t="str">
        <f>'St of Act-Rev'!A19</f>
        <v>Buckeye JVSD</v>
      </c>
      <c r="AJ19" s="3" t="b">
        <f t="shared" si="1"/>
        <v>1</v>
      </c>
      <c r="AK19" s="3" t="str">
        <f>'St of Act-Exp'!A19</f>
        <v>Buckeye JVSD</v>
      </c>
      <c r="AL19" s="3" t="b">
        <f t="shared" si="2"/>
        <v>1</v>
      </c>
      <c r="AN19" s="3" t="str">
        <f t="shared" si="3"/>
        <v>Tuscarawas</v>
      </c>
      <c r="AO19" s="3" t="str">
        <f>'St of Act-Rev'!C19</f>
        <v>Tuscarawas</v>
      </c>
      <c r="AP19" s="3" t="b">
        <f>C19='St of Act-Rev'!C19</f>
        <v>1</v>
      </c>
      <c r="AQ19" s="3" t="str">
        <f>'St of Act-Exp'!C19</f>
        <v>Tuscarawas</v>
      </c>
      <c r="AR19" s="3" t="b">
        <f>C19='St of Act-Exp'!C19</f>
        <v>1</v>
      </c>
    </row>
    <row r="20" spans="1:44">
      <c r="A20" s="3" t="s">
        <v>287</v>
      </c>
      <c r="C20" s="3" t="s">
        <v>150</v>
      </c>
      <c r="E20" s="12">
        <v>50880</v>
      </c>
      <c r="G20" s="3">
        <f t="shared" si="6"/>
        <v>34677920</v>
      </c>
      <c r="I20" s="3">
        <f>4810261+41717718</f>
        <v>46527979</v>
      </c>
      <c r="K20" s="3">
        <v>81205899</v>
      </c>
      <c r="M20" s="3">
        <f t="shared" si="7"/>
        <v>23468082</v>
      </c>
      <c r="O20" s="3">
        <v>366936</v>
      </c>
      <c r="Q20" s="3">
        <v>1783256</v>
      </c>
      <c r="S20" s="3">
        <v>25618274</v>
      </c>
      <c r="U20" s="3">
        <v>43045739</v>
      </c>
      <c r="W20" s="3">
        <f t="shared" si="8"/>
        <v>3718074</v>
      </c>
      <c r="Y20" s="3">
        <v>8823812</v>
      </c>
      <c r="AA20" s="3">
        <v>55587625</v>
      </c>
      <c r="AC20" s="3">
        <f>+K20-S20-AA20</f>
        <v>0</v>
      </c>
      <c r="AE20" s="3">
        <f>+G20+I20-M20-O20-U20-W20-Y20-Q20</f>
        <v>0</v>
      </c>
      <c r="AH20" s="3" t="str">
        <f t="shared" si="0"/>
        <v>Butler Technology and Career Development</v>
      </c>
      <c r="AI20" s="3" t="str">
        <f>'St of Act-Rev'!A20</f>
        <v>Butler Technology and Career Development</v>
      </c>
      <c r="AJ20" s="3" t="b">
        <f t="shared" si="1"/>
        <v>1</v>
      </c>
      <c r="AK20" s="3" t="str">
        <f>'St of Act-Exp'!A20</f>
        <v>Butler Technology and Career Development</v>
      </c>
      <c r="AL20" s="3" t="b">
        <f t="shared" si="2"/>
        <v>1</v>
      </c>
      <c r="AN20" s="3" t="str">
        <f t="shared" si="3"/>
        <v>Butler</v>
      </c>
      <c r="AO20" s="3" t="str">
        <f>'St of Act-Rev'!C20</f>
        <v>Butler</v>
      </c>
      <c r="AP20" s="3" t="b">
        <f>C20='St of Act-Rev'!C20</f>
        <v>1</v>
      </c>
      <c r="AQ20" s="3" t="str">
        <f>'St of Act-Exp'!C20</f>
        <v>Butler</v>
      </c>
      <c r="AR20" s="3" t="b">
        <f>C20='St of Act-Exp'!C20</f>
        <v>1</v>
      </c>
    </row>
    <row r="21" spans="1:44">
      <c r="A21" s="3" t="s">
        <v>291</v>
      </c>
      <c r="C21" s="3" t="s">
        <v>176</v>
      </c>
      <c r="E21" s="12">
        <v>51201</v>
      </c>
      <c r="G21" s="3">
        <f>+K21-I21</f>
        <v>15353301</v>
      </c>
      <c r="I21" s="3">
        <f>107951+37277411</f>
        <v>37385362</v>
      </c>
      <c r="K21" s="3">
        <v>52738663</v>
      </c>
      <c r="M21" s="3">
        <f>+S21-O21-Q21</f>
        <v>9117766</v>
      </c>
      <c r="O21" s="3">
        <v>1250474</v>
      </c>
      <c r="Q21" s="3">
        <v>26940532</v>
      </c>
      <c r="S21" s="3">
        <v>37308772</v>
      </c>
      <c r="U21" s="3">
        <v>11069084</v>
      </c>
      <c r="W21" s="3">
        <f>AA21-Y21-U21</f>
        <v>1545414</v>
      </c>
      <c r="Y21" s="3">
        <v>2815393</v>
      </c>
      <c r="AA21" s="3">
        <v>15429891</v>
      </c>
      <c r="AC21" s="3">
        <f>+K21-S21-AA21</f>
        <v>0</v>
      </c>
      <c r="AE21" s="3">
        <f>+G21+I21-M21-O21-U21-W21-Y21-Q21</f>
        <v>0</v>
      </c>
      <c r="AH21" s="3" t="str">
        <f>A21</f>
        <v>Career and Technology Education Centers of Licking County</v>
      </c>
      <c r="AI21" s="3" t="str">
        <f>'St of Act-Rev'!A21</f>
        <v>Career and Technology Education Centers of Licking County</v>
      </c>
      <c r="AJ21" s="3" t="b">
        <f>AH21=AI21</f>
        <v>1</v>
      </c>
      <c r="AK21" s="3" t="str">
        <f>'St of Act-Exp'!A21</f>
        <v>Career and Technology Education Centers of Licking County</v>
      </c>
      <c r="AL21" s="3" t="b">
        <f>A21=AK21</f>
        <v>1</v>
      </c>
      <c r="AN21" s="3" t="str">
        <f>C21</f>
        <v>Licking</v>
      </c>
      <c r="AO21" s="3" t="str">
        <f>'St of Act-Rev'!C21</f>
        <v>Licking</v>
      </c>
      <c r="AP21" s="3" t="b">
        <f>C21='St of Act-Rev'!C21</f>
        <v>1</v>
      </c>
      <c r="AQ21" s="3" t="str">
        <f>'St of Act-Exp'!C21</f>
        <v>Licking</v>
      </c>
      <c r="AR21" s="3" t="b">
        <f>C21='St of Act-Exp'!C21</f>
        <v>1</v>
      </c>
    </row>
    <row r="22" spans="1:44" s="65" customFormat="1" hidden="1">
      <c r="A22" s="65" t="s">
        <v>289</v>
      </c>
      <c r="C22" s="65" t="s">
        <v>220</v>
      </c>
      <c r="E22" s="76">
        <v>63511</v>
      </c>
      <c r="G22" s="65">
        <f t="shared" si="6"/>
        <v>0</v>
      </c>
      <c r="M22" s="65">
        <f t="shared" si="7"/>
        <v>0</v>
      </c>
      <c r="W22" s="65">
        <f t="shared" si="8"/>
        <v>0</v>
      </c>
      <c r="AC22" s="65">
        <f t="shared" si="4"/>
        <v>0</v>
      </c>
      <c r="AE22" s="65">
        <f t="shared" si="5"/>
        <v>0</v>
      </c>
      <c r="AG22" s="66" t="s">
        <v>304</v>
      </c>
      <c r="AH22" s="65" t="str">
        <f t="shared" si="0"/>
        <v>Central Ohio JVSD- now Tolles Career &amp; Technical Center since 2005</v>
      </c>
      <c r="AI22" s="65" t="str">
        <f>'St of Act-Rev'!A22</f>
        <v>Central Ohio JVSD- now Tolles Career &amp; Technical Center since 2005</v>
      </c>
      <c r="AJ22" s="65" t="b">
        <f t="shared" si="1"/>
        <v>1</v>
      </c>
      <c r="AK22" s="65" t="str">
        <f>'St of Act-Exp'!A22</f>
        <v>Central Ohio JVSD- now Tolles Career &amp; Technical Center since 2005</v>
      </c>
      <c r="AL22" s="65" t="b">
        <f t="shared" si="2"/>
        <v>1</v>
      </c>
      <c r="AN22" s="65" t="str">
        <f t="shared" si="3"/>
        <v>Madison</v>
      </c>
      <c r="AO22" s="65" t="str">
        <f>'St of Act-Rev'!C22</f>
        <v>Madison</v>
      </c>
      <c r="AP22" s="65" t="b">
        <f>C22='St of Act-Rev'!C22</f>
        <v>1</v>
      </c>
      <c r="AQ22" s="65" t="str">
        <f>'St of Act-Exp'!C22</f>
        <v>Madison</v>
      </c>
      <c r="AR22" s="65" t="b">
        <f>C22='St of Act-Exp'!C22</f>
        <v>1</v>
      </c>
    </row>
    <row r="23" spans="1:44">
      <c r="A23" s="3" t="s">
        <v>288</v>
      </c>
      <c r="C23" s="3" t="s">
        <v>159</v>
      </c>
      <c r="E23" s="12">
        <v>50906</v>
      </c>
      <c r="G23" s="3">
        <f t="shared" si="6"/>
        <v>10009514</v>
      </c>
      <c r="I23" s="3">
        <v>7014305</v>
      </c>
      <c r="K23" s="3">
        <v>17023819</v>
      </c>
      <c r="M23" s="3">
        <f t="shared" si="7"/>
        <v>2331183</v>
      </c>
      <c r="O23" s="3">
        <v>68474</v>
      </c>
      <c r="Q23" s="3">
        <v>192871</v>
      </c>
      <c r="S23" s="3">
        <v>2592528</v>
      </c>
      <c r="U23" s="3">
        <v>7014305</v>
      </c>
      <c r="W23" s="3">
        <f t="shared" si="8"/>
        <v>3350317</v>
      </c>
      <c r="Y23" s="3">
        <v>4066669</v>
      </c>
      <c r="AA23" s="3">
        <v>14431291</v>
      </c>
      <c r="AC23" s="3">
        <f>+K23-S23-AA23</f>
        <v>0</v>
      </c>
      <c r="AE23" s="3">
        <f t="shared" si="5"/>
        <v>0</v>
      </c>
      <c r="AH23" s="3" t="str">
        <f t="shared" si="0"/>
        <v>Columbiana County Career &amp; Technical Center</v>
      </c>
      <c r="AI23" s="3" t="str">
        <f>'St of Act-Rev'!A23</f>
        <v>Columbiana County Career &amp; Technical Center</v>
      </c>
      <c r="AJ23" s="3" t="b">
        <f t="shared" si="1"/>
        <v>1</v>
      </c>
      <c r="AK23" s="3" t="str">
        <f>'St of Act-Exp'!A23</f>
        <v>Columbiana County Career &amp; Technical Center</v>
      </c>
      <c r="AL23" s="3" t="b">
        <f t="shared" si="2"/>
        <v>1</v>
      </c>
      <c r="AN23" s="3" t="str">
        <f t="shared" si="3"/>
        <v>Columbiana</v>
      </c>
      <c r="AO23" s="3" t="str">
        <f>'St of Act-Rev'!C23</f>
        <v>Columbiana</v>
      </c>
      <c r="AP23" s="3" t="b">
        <f>C23='St of Act-Rev'!C23</f>
        <v>1</v>
      </c>
      <c r="AQ23" s="3" t="str">
        <f>'St of Act-Exp'!C23</f>
        <v>Columbiana</v>
      </c>
      <c r="AR23" s="3" t="b">
        <f>C23='St of Act-Exp'!C23</f>
        <v>1</v>
      </c>
    </row>
    <row r="24" spans="1:44" ht="12.75" customHeight="1">
      <c r="A24" s="3" t="s">
        <v>253</v>
      </c>
      <c r="C24" s="3" t="s">
        <v>213</v>
      </c>
      <c r="E24" s="12">
        <v>65227</v>
      </c>
      <c r="G24" s="3">
        <f t="shared" si="6"/>
        <v>2721677</v>
      </c>
      <c r="I24" s="3">
        <f>28429+921833</f>
        <v>950262</v>
      </c>
      <c r="K24" s="3">
        <v>3671939</v>
      </c>
      <c r="M24" s="3">
        <f t="shared" si="7"/>
        <v>1580118</v>
      </c>
      <c r="O24" s="3">
        <v>80318</v>
      </c>
      <c r="Q24" s="3">
        <v>606772</v>
      </c>
      <c r="S24" s="3">
        <v>2267208</v>
      </c>
      <c r="U24" s="3">
        <v>827397</v>
      </c>
      <c r="W24" s="3">
        <f t="shared" si="8"/>
        <v>103829</v>
      </c>
      <c r="Y24" s="3">
        <v>473505</v>
      </c>
      <c r="AA24" s="3">
        <v>1404731</v>
      </c>
      <c r="AC24" s="3">
        <f t="shared" si="4"/>
        <v>0</v>
      </c>
      <c r="AE24" s="3">
        <f t="shared" si="5"/>
        <v>0</v>
      </c>
      <c r="AH24" s="3" t="str">
        <f t="shared" si="0"/>
        <v>Coshocton County Career Center</v>
      </c>
      <c r="AI24" s="3" t="str">
        <f>'St of Act-Rev'!A24</f>
        <v>Coshocton County Career Center</v>
      </c>
      <c r="AJ24" s="3" t="b">
        <f t="shared" si="1"/>
        <v>1</v>
      </c>
      <c r="AK24" s="3" t="str">
        <f>'St of Act-Exp'!A24</f>
        <v>Coshocton County Career Center</v>
      </c>
      <c r="AL24" s="3" t="b">
        <f t="shared" si="2"/>
        <v>1</v>
      </c>
      <c r="AN24" s="3" t="str">
        <f t="shared" si="3"/>
        <v>Coshocton</v>
      </c>
      <c r="AO24" s="3" t="str">
        <f>'St of Act-Rev'!C24</f>
        <v>Coshocton</v>
      </c>
      <c r="AP24" s="3" t="b">
        <f>C24='St of Act-Rev'!C24</f>
        <v>1</v>
      </c>
      <c r="AQ24" s="3" t="str">
        <f>'St of Act-Exp'!C24</f>
        <v>Coshocton</v>
      </c>
      <c r="AR24" s="3" t="b">
        <f>C24='St of Act-Exp'!C24</f>
        <v>1</v>
      </c>
    </row>
    <row r="25" spans="1:44">
      <c r="A25" s="3" t="s">
        <v>251</v>
      </c>
      <c r="C25" s="3" t="s">
        <v>160</v>
      </c>
      <c r="E25" s="12">
        <v>50922</v>
      </c>
      <c r="G25" s="3">
        <f t="shared" si="6"/>
        <v>26420691</v>
      </c>
      <c r="I25" s="3">
        <v>17386160</v>
      </c>
      <c r="K25" s="3">
        <v>43806851</v>
      </c>
      <c r="M25" s="3">
        <f t="shared" si="7"/>
        <v>11035330</v>
      </c>
      <c r="O25" s="3">
        <v>268783</v>
      </c>
      <c r="Q25" s="3">
        <v>1912948</v>
      </c>
      <c r="S25" s="3">
        <v>13217061</v>
      </c>
      <c r="U25" s="3">
        <v>17119198</v>
      </c>
      <c r="W25" s="3">
        <f t="shared" si="8"/>
        <v>386689</v>
      </c>
      <c r="Y25" s="3">
        <v>13083903</v>
      </c>
      <c r="AA25" s="3">
        <v>30589790</v>
      </c>
      <c r="AC25" s="3">
        <f t="shared" si="4"/>
        <v>0</v>
      </c>
      <c r="AE25" s="3">
        <f t="shared" si="5"/>
        <v>0</v>
      </c>
      <c r="AH25" s="3" t="str">
        <f t="shared" si="0"/>
        <v>Cuyahoga Valley Career Center</v>
      </c>
      <c r="AI25" s="3" t="str">
        <f>'St of Act-Rev'!A25</f>
        <v>Cuyahoga Valley Career Center</v>
      </c>
      <c r="AJ25" s="3" t="b">
        <f t="shared" si="1"/>
        <v>1</v>
      </c>
      <c r="AK25" s="3" t="str">
        <f>'St of Act-Exp'!A25</f>
        <v>Cuyahoga Valley Career Center</v>
      </c>
      <c r="AL25" s="3" t="b">
        <f t="shared" si="2"/>
        <v>1</v>
      </c>
      <c r="AN25" s="3" t="str">
        <f t="shared" si="3"/>
        <v>Cuyahoga</v>
      </c>
      <c r="AO25" s="3" t="str">
        <f>'St of Act-Rev'!C25</f>
        <v>Cuyahoga</v>
      </c>
      <c r="AP25" s="3" t="b">
        <f>C25='St of Act-Rev'!C25</f>
        <v>1</v>
      </c>
      <c r="AQ25" s="3" t="str">
        <f>'St of Act-Exp'!C25</f>
        <v>Cuyahoga</v>
      </c>
      <c r="AR25" s="3" t="b">
        <f>C25='St of Act-Exp'!C25</f>
        <v>1</v>
      </c>
    </row>
    <row r="26" spans="1:44">
      <c r="A26" s="3" t="s">
        <v>250</v>
      </c>
      <c r="C26" s="3" t="s">
        <v>162</v>
      </c>
      <c r="E26" s="12">
        <v>50989</v>
      </c>
      <c r="G26" s="3">
        <f t="shared" si="6"/>
        <v>35182527</v>
      </c>
      <c r="I26" s="3">
        <v>13844004</v>
      </c>
      <c r="K26" s="3">
        <v>49026531</v>
      </c>
      <c r="M26" s="3">
        <f t="shared" si="7"/>
        <v>10133814</v>
      </c>
      <c r="O26" s="3">
        <v>227355</v>
      </c>
      <c r="Q26" s="3">
        <f>1355955-227355</f>
        <v>1128600</v>
      </c>
      <c r="S26" s="3">
        <v>11489769</v>
      </c>
      <c r="U26" s="3">
        <v>13794005</v>
      </c>
      <c r="W26" s="3">
        <f t="shared" si="8"/>
        <v>5203064</v>
      </c>
      <c r="Y26" s="3">
        <v>18539693</v>
      </c>
      <c r="AA26" s="3">
        <v>37536762</v>
      </c>
      <c r="AC26" s="3">
        <f t="shared" si="4"/>
        <v>0</v>
      </c>
      <c r="AE26" s="3">
        <f t="shared" si="5"/>
        <v>0</v>
      </c>
      <c r="AH26" s="3" t="str">
        <f t="shared" si="0"/>
        <v>Delaware Area Career Center</v>
      </c>
      <c r="AI26" s="3" t="str">
        <f>'St of Act-Rev'!A26</f>
        <v>Delaware Area Career Center</v>
      </c>
      <c r="AJ26" s="3" t="b">
        <f t="shared" si="1"/>
        <v>1</v>
      </c>
      <c r="AK26" s="3" t="str">
        <f>'St of Act-Exp'!A26</f>
        <v>Delaware Area Career Center</v>
      </c>
      <c r="AL26" s="3" t="b">
        <f t="shared" si="2"/>
        <v>1</v>
      </c>
      <c r="AN26" s="3" t="str">
        <f t="shared" si="3"/>
        <v>Delaware</v>
      </c>
      <c r="AO26" s="3" t="str">
        <f>'St of Act-Rev'!C26</f>
        <v>Delaware</v>
      </c>
      <c r="AP26" s="3" t="b">
        <f>C26='St of Act-Rev'!C26</f>
        <v>1</v>
      </c>
      <c r="AQ26" s="3" t="str">
        <f>'St of Act-Exp'!C26</f>
        <v>Delaware</v>
      </c>
      <c r="AR26" s="3" t="b">
        <f>C26='St of Act-Exp'!C26</f>
        <v>1</v>
      </c>
    </row>
    <row r="27" spans="1:44">
      <c r="A27" s="3" t="s">
        <v>307</v>
      </c>
      <c r="C27" s="3" t="s">
        <v>165</v>
      </c>
      <c r="E27" s="12">
        <v>51003</v>
      </c>
      <c r="G27" s="3">
        <f t="shared" si="6"/>
        <v>35405594</v>
      </c>
      <c r="I27" s="3">
        <f>1126603+22439123</f>
        <v>23565726</v>
      </c>
      <c r="K27" s="3">
        <v>58971320</v>
      </c>
      <c r="M27" s="3">
        <f t="shared" si="7"/>
        <v>12130671</v>
      </c>
      <c r="O27" s="3">
        <f>669073+20504</f>
        <v>689577</v>
      </c>
      <c r="Q27" s="3">
        <f>1940052+59422-669073-20504</f>
        <v>1309897</v>
      </c>
      <c r="S27" s="3">
        <v>14130145</v>
      </c>
      <c r="U27" s="3">
        <v>23265726</v>
      </c>
      <c r="W27" s="3">
        <f t="shared" si="8"/>
        <v>89100</v>
      </c>
      <c r="Y27" s="3">
        <v>21486349</v>
      </c>
      <c r="AA27" s="3">
        <v>44841175</v>
      </c>
      <c r="AC27" s="3">
        <f>+K27-S27-AA27</f>
        <v>0</v>
      </c>
      <c r="AE27" s="3">
        <f t="shared" si="5"/>
        <v>0</v>
      </c>
      <c r="AH27" s="3" t="str">
        <f t="shared" si="0"/>
        <v>Eastland-Fairfield Career and Tech Center</v>
      </c>
      <c r="AI27" s="3" t="str">
        <f>'St of Act-Rev'!A27</f>
        <v>Eastland-Fairfield Career and Tech Center</v>
      </c>
      <c r="AJ27" s="3" t="b">
        <f t="shared" si="1"/>
        <v>1</v>
      </c>
      <c r="AK27" s="3" t="str">
        <f>'St of Act-Exp'!A27</f>
        <v>Eastland-Fairfield Career and Tech Center</v>
      </c>
      <c r="AL27" s="3" t="b">
        <f t="shared" si="2"/>
        <v>1</v>
      </c>
      <c r="AN27" s="3" t="str">
        <f t="shared" si="3"/>
        <v>Franklin</v>
      </c>
      <c r="AO27" s="3" t="str">
        <f>'St of Act-Rev'!C27</f>
        <v>Franklin</v>
      </c>
      <c r="AP27" s="3" t="b">
        <f>C27='St of Act-Rev'!C27</f>
        <v>1</v>
      </c>
      <c r="AQ27" s="3" t="str">
        <f>'St of Act-Exp'!C27</f>
        <v>Franklin</v>
      </c>
      <c r="AR27" s="3" t="b">
        <f>C27='St of Act-Exp'!C27</f>
        <v>1</v>
      </c>
    </row>
    <row r="28" spans="1:44">
      <c r="A28" s="3" t="s">
        <v>252</v>
      </c>
      <c r="C28" s="3" t="s">
        <v>163</v>
      </c>
      <c r="E28" s="12">
        <v>51029</v>
      </c>
      <c r="G28" s="3">
        <f t="shared" si="6"/>
        <v>13084110</v>
      </c>
      <c r="I28" s="3">
        <v>1453255</v>
      </c>
      <c r="K28" s="3">
        <v>14537365</v>
      </c>
      <c r="M28" s="3">
        <f t="shared" si="7"/>
        <v>6952873</v>
      </c>
      <c r="O28" s="3">
        <v>300262</v>
      </c>
      <c r="Q28" s="3">
        <f>3996676-300262</f>
        <v>3696414</v>
      </c>
      <c r="S28" s="3">
        <v>10949549</v>
      </c>
      <c r="U28" s="3">
        <v>89255</v>
      </c>
      <c r="W28" s="3">
        <f t="shared" si="8"/>
        <v>8903</v>
      </c>
      <c r="Y28" s="3">
        <v>3489658</v>
      </c>
      <c r="AA28" s="3">
        <v>3587816</v>
      </c>
      <c r="AC28" s="3">
        <f t="shared" si="4"/>
        <v>0</v>
      </c>
      <c r="AE28" s="3">
        <f t="shared" si="5"/>
        <v>0</v>
      </c>
      <c r="AG28" s="3" t="s">
        <v>383</v>
      </c>
      <c r="AH28" s="3" t="str">
        <f t="shared" si="0"/>
        <v>Ehove Career Center</v>
      </c>
      <c r="AI28" s="3" t="str">
        <f>'St of Act-Rev'!A28</f>
        <v>Ehove Career Center</v>
      </c>
      <c r="AJ28" s="3" t="b">
        <f t="shared" si="1"/>
        <v>1</v>
      </c>
      <c r="AK28" s="3" t="str">
        <f>'St of Act-Exp'!A28</f>
        <v>Ehove Career Center</v>
      </c>
      <c r="AL28" s="3" t="b">
        <f t="shared" si="2"/>
        <v>1</v>
      </c>
      <c r="AN28" s="3" t="str">
        <f t="shared" si="3"/>
        <v>Erie</v>
      </c>
      <c r="AO28" s="3" t="str">
        <f>'St of Act-Rev'!C28</f>
        <v>Erie</v>
      </c>
      <c r="AP28" s="3" t="b">
        <f>C28='St of Act-Rev'!C28</f>
        <v>1</v>
      </c>
      <c r="AQ28" s="3" t="str">
        <f>'St of Act-Exp'!C28</f>
        <v>Erie</v>
      </c>
      <c r="AR28" s="3" t="b">
        <f>C28='St of Act-Exp'!C28</f>
        <v>1</v>
      </c>
    </row>
    <row r="29" spans="1:44">
      <c r="A29" s="3" t="s">
        <v>254</v>
      </c>
      <c r="C29" s="3" t="s">
        <v>215</v>
      </c>
      <c r="E29" s="12">
        <v>50963</v>
      </c>
      <c r="G29" s="3">
        <f t="shared" si="6"/>
        <v>17060383</v>
      </c>
      <c r="I29" s="3">
        <f>219258+8603479</f>
        <v>8822737</v>
      </c>
      <c r="K29" s="3">
        <v>25883120</v>
      </c>
      <c r="M29" s="3">
        <f t="shared" si="7"/>
        <v>6449218</v>
      </c>
      <c r="O29" s="3">
        <v>81546</v>
      </c>
      <c r="Q29" s="3">
        <f>1331870-81546</f>
        <v>1250324</v>
      </c>
      <c r="S29" s="3">
        <v>7781088</v>
      </c>
      <c r="U29" s="3">
        <v>8721575</v>
      </c>
      <c r="W29" s="3">
        <f t="shared" si="8"/>
        <v>2945893</v>
      </c>
      <c r="Y29" s="3">
        <v>6434564</v>
      </c>
      <c r="AA29" s="3">
        <v>18102032</v>
      </c>
      <c r="AC29" s="3">
        <f t="shared" si="4"/>
        <v>0</v>
      </c>
      <c r="AE29" s="3">
        <f t="shared" si="5"/>
        <v>0</v>
      </c>
      <c r="AH29" s="3" t="str">
        <f t="shared" si="0"/>
        <v>Four County Career Center</v>
      </c>
      <c r="AI29" s="3" t="str">
        <f>'St of Act-Rev'!A29</f>
        <v>Four County Career Center</v>
      </c>
      <c r="AJ29" s="3" t="b">
        <f t="shared" si="1"/>
        <v>1</v>
      </c>
      <c r="AK29" s="3" t="str">
        <f>'St of Act-Exp'!A29</f>
        <v>Four County Career Center</v>
      </c>
      <c r="AL29" s="3" t="b">
        <f t="shared" si="2"/>
        <v>1</v>
      </c>
      <c r="AN29" s="3" t="str">
        <f t="shared" si="3"/>
        <v>Henry</v>
      </c>
      <c r="AO29" s="3" t="str">
        <f>'St of Act-Rev'!C29</f>
        <v>Henry</v>
      </c>
      <c r="AP29" s="3" t="b">
        <f>C29='St of Act-Rev'!C29</f>
        <v>1</v>
      </c>
      <c r="AQ29" s="3" t="str">
        <f>'St of Act-Exp'!C29</f>
        <v>Henry</v>
      </c>
      <c r="AR29" s="3" t="b">
        <f>C29='St of Act-Exp'!C29</f>
        <v>1</v>
      </c>
    </row>
    <row r="30" spans="1:44" ht="13.5" customHeight="1">
      <c r="A30" s="3" t="s">
        <v>214</v>
      </c>
      <c r="C30" s="3" t="s">
        <v>168</v>
      </c>
      <c r="E30" s="12">
        <v>62067</v>
      </c>
      <c r="G30" s="3">
        <f t="shared" si="6"/>
        <v>10080846</v>
      </c>
      <c r="I30" s="3">
        <f>110702+20310252</f>
        <v>20420954</v>
      </c>
      <c r="K30" s="3">
        <v>30501800</v>
      </c>
      <c r="M30" s="3">
        <f t="shared" si="7"/>
        <v>3684488</v>
      </c>
      <c r="O30" s="3">
        <v>235096</v>
      </c>
      <c r="Q30" s="3">
        <f>2940334-235096</f>
        <v>2705238</v>
      </c>
      <c r="S30" s="3">
        <v>6624822</v>
      </c>
      <c r="U30" s="3">
        <v>17972954</v>
      </c>
      <c r="W30" s="3">
        <f t="shared" si="8"/>
        <v>4702254</v>
      </c>
      <c r="Y30" s="3">
        <v>1201770</v>
      </c>
      <c r="AA30" s="3">
        <v>23876978</v>
      </c>
      <c r="AC30" s="3">
        <f t="shared" si="4"/>
        <v>0</v>
      </c>
      <c r="AE30" s="3">
        <f t="shared" si="5"/>
        <v>0</v>
      </c>
      <c r="AH30" s="3" t="str">
        <f t="shared" si="0"/>
        <v>Gallia-Jackson-Vinton JVSD</v>
      </c>
      <c r="AI30" s="3" t="str">
        <f>'St of Act-Rev'!A30</f>
        <v>Gallia-Jackson-Vinton JVSD</v>
      </c>
      <c r="AJ30" s="3" t="b">
        <f t="shared" si="1"/>
        <v>1</v>
      </c>
      <c r="AK30" s="3" t="str">
        <f>'St of Act-Exp'!A30</f>
        <v>Gallia-Jackson-Vinton JVSD</v>
      </c>
      <c r="AL30" s="3" t="b">
        <f t="shared" si="2"/>
        <v>1</v>
      </c>
      <c r="AN30" s="3" t="str">
        <f t="shared" si="3"/>
        <v>Gallia</v>
      </c>
      <c r="AO30" s="3" t="str">
        <f>'St of Act-Rev'!C30</f>
        <v>Gallia</v>
      </c>
      <c r="AP30" s="3" t="b">
        <f>C30='St of Act-Rev'!C30</f>
        <v>1</v>
      </c>
      <c r="AQ30" s="3" t="str">
        <f>'St of Act-Exp'!C30</f>
        <v>Gallia</v>
      </c>
      <c r="AR30" s="3" t="b">
        <f>C30='St of Act-Exp'!C30</f>
        <v>1</v>
      </c>
    </row>
    <row r="31" spans="1:44">
      <c r="A31" s="3" t="s">
        <v>327</v>
      </c>
      <c r="C31" s="3" t="s">
        <v>171</v>
      </c>
      <c r="E31" s="12">
        <v>51060</v>
      </c>
      <c r="G31" s="3">
        <f t="shared" si="6"/>
        <v>76337845</v>
      </c>
      <c r="I31" s="3">
        <v>108243308</v>
      </c>
      <c r="K31" s="3">
        <v>184581153</v>
      </c>
      <c r="M31" s="3">
        <f t="shared" si="7"/>
        <v>29982250</v>
      </c>
      <c r="O31" s="3">
        <v>1743304</v>
      </c>
      <c r="Q31" s="3">
        <f>22326145-1743304</f>
        <v>20582841</v>
      </c>
      <c r="S31" s="3">
        <v>52308395</v>
      </c>
      <c r="U31" s="3">
        <v>88422801</v>
      </c>
      <c r="W31" s="3">
        <f t="shared" si="8"/>
        <v>3663767</v>
      </c>
      <c r="Y31" s="3">
        <v>40186190</v>
      </c>
      <c r="AA31" s="3">
        <v>132272758</v>
      </c>
      <c r="AC31" s="3">
        <f t="shared" si="4"/>
        <v>0</v>
      </c>
      <c r="AE31" s="3">
        <f t="shared" si="5"/>
        <v>0</v>
      </c>
      <c r="AG31" s="3" t="s">
        <v>383</v>
      </c>
      <c r="AH31" s="3" t="str">
        <f t="shared" si="0"/>
        <v>Great Oaks Inst of Technology &amp; Career Development</v>
      </c>
      <c r="AI31" s="3" t="str">
        <f>'St of Act-Rev'!A31</f>
        <v>Great Oaks Inst of Technology &amp; Career Development</v>
      </c>
      <c r="AJ31" s="3" t="b">
        <f t="shared" si="1"/>
        <v>1</v>
      </c>
      <c r="AK31" s="3" t="str">
        <f>'St of Act-Exp'!A31</f>
        <v>Great Oaks Inst of Technology &amp; Career Development</v>
      </c>
      <c r="AL31" s="3" t="b">
        <f t="shared" si="2"/>
        <v>1</v>
      </c>
      <c r="AN31" s="3" t="str">
        <f t="shared" si="3"/>
        <v>Hamilton</v>
      </c>
      <c r="AO31" s="3" t="str">
        <f>'St of Act-Rev'!C31</f>
        <v>Hamilton</v>
      </c>
      <c r="AP31" s="3" t="b">
        <f>C31='St of Act-Rev'!C31</f>
        <v>1</v>
      </c>
      <c r="AQ31" s="3" t="str">
        <f>'St of Act-Exp'!C31</f>
        <v>Hamilton</v>
      </c>
      <c r="AR31" s="3" t="b">
        <f>C31='St of Act-Exp'!C31</f>
        <v>1</v>
      </c>
    </row>
    <row r="32" spans="1:44">
      <c r="A32" s="3" t="s">
        <v>386</v>
      </c>
      <c r="C32" s="3" t="s">
        <v>170</v>
      </c>
      <c r="E32" s="12">
        <v>51045</v>
      </c>
      <c r="G32" s="3">
        <f t="shared" si="6"/>
        <v>15507299</v>
      </c>
      <c r="I32" s="3">
        <v>14627626</v>
      </c>
      <c r="K32" s="3">
        <v>30134925</v>
      </c>
      <c r="M32" s="3">
        <f t="shared" si="7"/>
        <v>9780757</v>
      </c>
      <c r="O32" s="3">
        <v>104878</v>
      </c>
      <c r="Q32" s="3">
        <v>603836</v>
      </c>
      <c r="S32" s="3">
        <v>10489471</v>
      </c>
      <c r="U32" s="3">
        <v>14477624</v>
      </c>
      <c r="W32" s="3">
        <f t="shared" si="8"/>
        <v>1359219</v>
      </c>
      <c r="Y32" s="3">
        <v>3808611</v>
      </c>
      <c r="AA32" s="3">
        <v>19645454</v>
      </c>
      <c r="AC32" s="3">
        <f t="shared" si="4"/>
        <v>0</v>
      </c>
      <c r="AE32" s="3">
        <f t="shared" si="5"/>
        <v>0</v>
      </c>
      <c r="AH32" s="3" t="str">
        <f t="shared" si="0"/>
        <v>Greene County VSD</v>
      </c>
      <c r="AI32" s="3" t="str">
        <f>'St of Act-Rev'!A32</f>
        <v>Greene County VSD</v>
      </c>
      <c r="AJ32" s="3" t="b">
        <f t="shared" si="1"/>
        <v>1</v>
      </c>
      <c r="AK32" s="3" t="str">
        <f>'St of Act-Exp'!A32</f>
        <v>Greene County VSD</v>
      </c>
      <c r="AL32" s="3" t="b">
        <f t="shared" si="2"/>
        <v>1</v>
      </c>
      <c r="AN32" s="3" t="str">
        <f t="shared" si="3"/>
        <v>Greene</v>
      </c>
      <c r="AO32" s="3" t="str">
        <f>'St of Act-Rev'!C32</f>
        <v>Greene</v>
      </c>
      <c r="AP32" s="3" t="b">
        <f>C32='St of Act-Rev'!C32</f>
        <v>1</v>
      </c>
      <c r="AQ32" s="3" t="str">
        <f>'St of Act-Exp'!C32</f>
        <v>Greene</v>
      </c>
      <c r="AR32" s="3" t="b">
        <f>C32='St of Act-Exp'!C32</f>
        <v>1</v>
      </c>
    </row>
    <row r="33" spans="1:44">
      <c r="A33" s="3" t="s">
        <v>216</v>
      </c>
      <c r="C33" s="3" t="s">
        <v>173</v>
      </c>
      <c r="E33" s="12">
        <v>51128</v>
      </c>
      <c r="G33" s="3">
        <f t="shared" si="6"/>
        <v>2268973</v>
      </c>
      <c r="I33" s="3">
        <f>888229+2880692</f>
        <v>3768921</v>
      </c>
      <c r="K33" s="3">
        <v>6037894</v>
      </c>
      <c r="M33" s="3">
        <f t="shared" si="7"/>
        <v>1976043</v>
      </c>
      <c r="O33" s="3">
        <v>80580</v>
      </c>
      <c r="Q33" s="3">
        <f>1362733-80580</f>
        <v>1282153</v>
      </c>
      <c r="S33" s="3">
        <v>3338776</v>
      </c>
      <c r="U33" s="3">
        <v>1982094</v>
      </c>
      <c r="W33" s="3">
        <f t="shared" si="8"/>
        <v>145999</v>
      </c>
      <c r="Y33" s="3">
        <v>571025</v>
      </c>
      <c r="AA33" s="3">
        <v>2699118</v>
      </c>
      <c r="AC33" s="3">
        <f t="shared" si="4"/>
        <v>0</v>
      </c>
      <c r="AE33" s="3">
        <f t="shared" si="5"/>
        <v>0</v>
      </c>
      <c r="AH33" s="3" t="str">
        <f t="shared" si="0"/>
        <v>Jefferson County JVSD</v>
      </c>
      <c r="AI33" s="3" t="str">
        <f>'St of Act-Rev'!A33</f>
        <v>Jefferson County JVSD</v>
      </c>
      <c r="AJ33" s="3" t="b">
        <f t="shared" si="1"/>
        <v>1</v>
      </c>
      <c r="AK33" s="3" t="str">
        <f>'St of Act-Exp'!A33</f>
        <v>Jefferson County JVSD</v>
      </c>
      <c r="AL33" s="3" t="b">
        <f t="shared" si="2"/>
        <v>1</v>
      </c>
      <c r="AN33" s="3" t="str">
        <f t="shared" si="3"/>
        <v>Jefferson</v>
      </c>
      <c r="AO33" s="3" t="str">
        <f>'St of Act-Rev'!C33</f>
        <v>Jefferson</v>
      </c>
      <c r="AP33" s="3" t="b">
        <f>C33='St of Act-Rev'!C33</f>
        <v>1</v>
      </c>
      <c r="AQ33" s="3" t="str">
        <f>'St of Act-Exp'!C33</f>
        <v>Jefferson</v>
      </c>
      <c r="AR33" s="3" t="b">
        <f>C33='St of Act-Exp'!C33</f>
        <v>1</v>
      </c>
    </row>
    <row r="34" spans="1:44">
      <c r="A34" s="3" t="s">
        <v>255</v>
      </c>
      <c r="C34" s="3" t="s">
        <v>174</v>
      </c>
      <c r="E34" s="12">
        <v>51144</v>
      </c>
      <c r="G34" s="3">
        <f t="shared" si="6"/>
        <v>16420356</v>
      </c>
      <c r="I34" s="3">
        <f>340564+21598608</f>
        <v>21939172</v>
      </c>
      <c r="K34" s="3">
        <v>38359528</v>
      </c>
      <c r="M34" s="3">
        <f t="shared" si="7"/>
        <v>2846253</v>
      </c>
      <c r="O34" s="3">
        <v>300038</v>
      </c>
      <c r="Q34" s="3">
        <f>4731793-300038</f>
        <v>4431755</v>
      </c>
      <c r="S34" s="3">
        <v>7578046</v>
      </c>
      <c r="U34" s="3">
        <v>17677254</v>
      </c>
      <c r="W34" s="3">
        <f t="shared" si="8"/>
        <v>2612086</v>
      </c>
      <c r="Y34" s="3">
        <v>10492142</v>
      </c>
      <c r="AA34" s="3">
        <v>30781482</v>
      </c>
      <c r="AC34" s="3">
        <f t="shared" si="4"/>
        <v>0</v>
      </c>
      <c r="AE34" s="3">
        <f t="shared" si="5"/>
        <v>0</v>
      </c>
      <c r="AH34" s="3" t="str">
        <f t="shared" si="0"/>
        <v>Knox County Career Center</v>
      </c>
      <c r="AI34" s="3" t="str">
        <f>'St of Act-Rev'!A34</f>
        <v>Knox County Career Center</v>
      </c>
      <c r="AJ34" s="3" t="b">
        <f t="shared" si="1"/>
        <v>1</v>
      </c>
      <c r="AK34" s="3" t="str">
        <f>'St of Act-Exp'!A34</f>
        <v>Knox County Career Center</v>
      </c>
      <c r="AL34" s="3" t="b">
        <f t="shared" si="2"/>
        <v>1</v>
      </c>
      <c r="AN34" s="3" t="str">
        <f t="shared" si="3"/>
        <v>Knox</v>
      </c>
      <c r="AO34" s="3" t="str">
        <f>'St of Act-Rev'!C34</f>
        <v>Knox</v>
      </c>
      <c r="AP34" s="3" t="b">
        <f>C34='St of Act-Rev'!C34</f>
        <v>1</v>
      </c>
      <c r="AQ34" s="3" t="str">
        <f>'St of Act-Exp'!C34</f>
        <v>Knox</v>
      </c>
      <c r="AR34" s="3" t="b">
        <f>C34='St of Act-Exp'!C34</f>
        <v>1</v>
      </c>
    </row>
    <row r="35" spans="1:44">
      <c r="A35" s="3" t="s">
        <v>217</v>
      </c>
      <c r="C35" s="3" t="s">
        <v>175</v>
      </c>
      <c r="E35" s="12">
        <v>51185</v>
      </c>
      <c r="G35" s="3">
        <f t="shared" si="6"/>
        <v>28898816</v>
      </c>
      <c r="I35" s="3">
        <f>751339+2241802</f>
        <v>2993141</v>
      </c>
      <c r="K35" s="3">
        <v>31891957</v>
      </c>
      <c r="M35" s="3">
        <f t="shared" si="7"/>
        <v>2240173</v>
      </c>
      <c r="O35" s="3">
        <v>427590</v>
      </c>
      <c r="Q35" s="3">
        <f>7514828-427590</f>
        <v>7087238</v>
      </c>
      <c r="S35" s="3">
        <v>9755001</v>
      </c>
      <c r="U35" s="3">
        <v>2712695</v>
      </c>
      <c r="W35" s="3">
        <f t="shared" si="8"/>
        <v>17536324</v>
      </c>
      <c r="Y35" s="3">
        <v>1887937</v>
      </c>
      <c r="AA35" s="3">
        <v>22136956</v>
      </c>
      <c r="AC35" s="3">
        <f t="shared" si="4"/>
        <v>0</v>
      </c>
      <c r="AE35" s="3">
        <f t="shared" si="5"/>
        <v>0</v>
      </c>
      <c r="AH35" s="3" t="str">
        <f t="shared" si="0"/>
        <v>Lawrence County JVSD</v>
      </c>
      <c r="AI35" s="3" t="str">
        <f>'St of Act-Rev'!A35</f>
        <v>Lawrence County JVSD</v>
      </c>
      <c r="AJ35" s="3" t="b">
        <f t="shared" si="1"/>
        <v>1</v>
      </c>
      <c r="AK35" s="3" t="str">
        <f>'St of Act-Exp'!A35</f>
        <v>Lawrence County JVSD</v>
      </c>
      <c r="AL35" s="3" t="b">
        <f t="shared" si="2"/>
        <v>1</v>
      </c>
      <c r="AN35" s="3" t="str">
        <f t="shared" si="3"/>
        <v>Lawrence</v>
      </c>
      <c r="AO35" s="3" t="str">
        <f>'St of Act-Rev'!C35</f>
        <v>Lawrence</v>
      </c>
      <c r="AP35" s="3" t="b">
        <f>C35='St of Act-Rev'!C35</f>
        <v>1</v>
      </c>
      <c r="AQ35" s="3" t="str">
        <f>'St of Act-Exp'!C35</f>
        <v>Lawrence</v>
      </c>
      <c r="AR35" s="3" t="b">
        <f>C35='St of Act-Exp'!C35</f>
        <v>1</v>
      </c>
    </row>
    <row r="36" spans="1:44" s="65" customFormat="1" hidden="1">
      <c r="A36" s="65" t="s">
        <v>308</v>
      </c>
      <c r="C36" s="65" t="s">
        <v>176</v>
      </c>
      <c r="E36" s="76">
        <v>47977</v>
      </c>
      <c r="G36" s="65">
        <f t="shared" si="6"/>
        <v>0</v>
      </c>
      <c r="M36" s="65">
        <f t="shared" si="7"/>
        <v>0</v>
      </c>
      <c r="W36" s="65">
        <f t="shared" si="8"/>
        <v>0</v>
      </c>
      <c r="AC36" s="65">
        <f t="shared" si="4"/>
        <v>0</v>
      </c>
      <c r="AE36" s="65">
        <f t="shared" si="5"/>
        <v>0</v>
      </c>
      <c r="AG36" s="65" t="s">
        <v>389</v>
      </c>
      <c r="AH36" s="65" t="str">
        <f t="shared" si="0"/>
        <v>Licking Co Career &amp; Tech Center</v>
      </c>
      <c r="AI36" s="65" t="str">
        <f>'St of Act-Rev'!A36</f>
        <v>Licking Co Career &amp; Tech Center</v>
      </c>
      <c r="AJ36" s="65" t="b">
        <f t="shared" si="1"/>
        <v>1</v>
      </c>
      <c r="AK36" s="65" t="str">
        <f>'St of Act-Exp'!A36</f>
        <v>Licking Co Career &amp; Tech Center</v>
      </c>
      <c r="AL36" s="65" t="b">
        <f t="shared" si="2"/>
        <v>1</v>
      </c>
      <c r="AN36" s="65" t="str">
        <f t="shared" si="3"/>
        <v>Licking</v>
      </c>
      <c r="AO36" s="65" t="str">
        <f>'St of Act-Rev'!C36</f>
        <v>Licking</v>
      </c>
      <c r="AP36" s="65" t="b">
        <f>C36='St of Act-Rev'!C36</f>
        <v>1</v>
      </c>
      <c r="AQ36" s="65" t="str">
        <f>'St of Act-Exp'!C36</f>
        <v>Licking</v>
      </c>
      <c r="AR36" s="65" t="b">
        <f>C36='St of Act-Exp'!C36</f>
        <v>1</v>
      </c>
    </row>
    <row r="37" spans="1:44">
      <c r="A37" s="3" t="s">
        <v>219</v>
      </c>
      <c r="C37" s="3" t="s">
        <v>145</v>
      </c>
      <c r="E37" s="12">
        <v>51227</v>
      </c>
      <c r="G37" s="3">
        <f t="shared" si="6"/>
        <v>23049101</v>
      </c>
      <c r="I37" s="3">
        <f>706688+11089213</f>
        <v>11795901</v>
      </c>
      <c r="K37" s="3">
        <v>34845002</v>
      </c>
      <c r="M37" s="3">
        <f t="shared" si="7"/>
        <v>13463412</v>
      </c>
      <c r="O37" s="3">
        <v>687950</v>
      </c>
      <c r="Q37" s="3">
        <f>3934339-687950</f>
        <v>3246389</v>
      </c>
      <c r="S37" s="3">
        <v>17397751</v>
      </c>
      <c r="U37" s="3">
        <v>11795901</v>
      </c>
      <c r="W37" s="3">
        <f t="shared" si="8"/>
        <v>1463332</v>
      </c>
      <c r="Y37" s="3">
        <v>4188018</v>
      </c>
      <c r="AA37" s="3">
        <v>17447251</v>
      </c>
      <c r="AC37" s="3">
        <f t="shared" si="4"/>
        <v>0</v>
      </c>
      <c r="AE37" s="3">
        <f t="shared" si="5"/>
        <v>0</v>
      </c>
      <c r="AG37" s="3" t="s">
        <v>383</v>
      </c>
      <c r="AH37" s="3" t="str">
        <f t="shared" si="0"/>
        <v>Lorain County JVSD</v>
      </c>
      <c r="AI37" s="3" t="str">
        <f>'St of Act-Rev'!A37</f>
        <v>Lorain County JVSD</v>
      </c>
      <c r="AJ37" s="3" t="b">
        <f t="shared" si="1"/>
        <v>1</v>
      </c>
      <c r="AK37" s="3" t="str">
        <f>'St of Act-Exp'!A37</f>
        <v>Lorain County JVSD</v>
      </c>
      <c r="AL37" s="3" t="b">
        <f t="shared" si="2"/>
        <v>1</v>
      </c>
      <c r="AN37" s="3" t="str">
        <f t="shared" si="3"/>
        <v>Lorain</v>
      </c>
      <c r="AO37" s="3" t="str">
        <f>'St of Act-Rev'!C37</f>
        <v>Lorain</v>
      </c>
      <c r="AP37" s="3" t="b">
        <f>C37='St of Act-Rev'!C37</f>
        <v>1</v>
      </c>
      <c r="AQ37" s="3" t="str">
        <f>'St of Act-Exp'!C37</f>
        <v>Lorain</v>
      </c>
      <c r="AR37" s="3" t="b">
        <f>C37='St of Act-Exp'!C37</f>
        <v>1</v>
      </c>
    </row>
    <row r="38" spans="1:44">
      <c r="A38" s="3" t="s">
        <v>309</v>
      </c>
      <c r="C38" s="3" t="s">
        <v>179</v>
      </c>
      <c r="E38" s="12">
        <v>51243</v>
      </c>
      <c r="G38" s="3">
        <f t="shared" si="6"/>
        <v>28878677</v>
      </c>
      <c r="I38" s="3">
        <f>125000+28019213</f>
        <v>28144213</v>
      </c>
      <c r="K38" s="3">
        <v>57022890</v>
      </c>
      <c r="M38" s="3">
        <f t="shared" si="7"/>
        <v>7703115</v>
      </c>
      <c r="O38" s="3">
        <v>423977</v>
      </c>
      <c r="Q38" s="3">
        <f>15463203-423977</f>
        <v>15039226</v>
      </c>
      <c r="S38" s="3">
        <v>23166318</v>
      </c>
      <c r="U38" s="3">
        <v>13947981</v>
      </c>
      <c r="W38" s="3">
        <f t="shared" si="8"/>
        <v>14211319</v>
      </c>
      <c r="Y38" s="3">
        <v>5697272</v>
      </c>
      <c r="AA38" s="3">
        <v>33856572</v>
      </c>
      <c r="AC38" s="3">
        <f>+K38-S38-AA38</f>
        <v>0</v>
      </c>
      <c r="AE38" s="3">
        <f t="shared" si="5"/>
        <v>0</v>
      </c>
      <c r="AH38" s="3" t="str">
        <f t="shared" si="0"/>
        <v>Mahoning Co Career &amp; Tech Center</v>
      </c>
      <c r="AI38" s="3" t="str">
        <f>'St of Act-Rev'!A38</f>
        <v>Mahoning Co Career &amp; Tech Center</v>
      </c>
      <c r="AJ38" s="3" t="b">
        <f t="shared" si="1"/>
        <v>1</v>
      </c>
      <c r="AK38" s="3" t="str">
        <f>'St of Act-Exp'!A38</f>
        <v>Mahoning Co Career &amp; Tech Center</v>
      </c>
      <c r="AL38" s="3" t="b">
        <f t="shared" si="2"/>
        <v>1</v>
      </c>
      <c r="AN38" s="3" t="str">
        <f t="shared" si="3"/>
        <v>Mahoning</v>
      </c>
      <c r="AO38" s="3" t="str">
        <f>'St of Act-Rev'!C38</f>
        <v>Mahoning</v>
      </c>
      <c r="AP38" s="3" t="b">
        <f>C38='St of Act-Rev'!C38</f>
        <v>1</v>
      </c>
      <c r="AQ38" s="3" t="str">
        <f>'St of Act-Exp'!C38</f>
        <v>Mahoning</v>
      </c>
      <c r="AR38" s="3" t="b">
        <f>C38='St of Act-Exp'!C38</f>
        <v>1</v>
      </c>
    </row>
    <row r="39" spans="1:44">
      <c r="A39" s="3" t="s">
        <v>256</v>
      </c>
      <c r="C39" s="3" t="s">
        <v>190</v>
      </c>
      <c r="E39" s="12">
        <v>51391</v>
      </c>
      <c r="G39" s="3">
        <f t="shared" si="6"/>
        <v>25765828</v>
      </c>
      <c r="I39" s="3">
        <f>140600+13506361</f>
        <v>13646961</v>
      </c>
      <c r="K39" s="3">
        <v>39412789</v>
      </c>
      <c r="M39" s="3">
        <f t="shared" si="7"/>
        <v>6783042</v>
      </c>
      <c r="O39" s="3">
        <v>73840</v>
      </c>
      <c r="Q39" s="3">
        <f>1310012-73840</f>
        <v>1236172</v>
      </c>
      <c r="S39" s="3">
        <v>8093054</v>
      </c>
      <c r="U39" s="3">
        <v>13646961</v>
      </c>
      <c r="W39" s="3">
        <f t="shared" si="8"/>
        <v>51310</v>
      </c>
      <c r="Y39" s="3">
        <v>17621464</v>
      </c>
      <c r="AA39" s="3">
        <v>31319735</v>
      </c>
      <c r="AC39" s="3">
        <f>+K39-S39-AA39</f>
        <v>0</v>
      </c>
      <c r="AE39" s="3">
        <f t="shared" si="5"/>
        <v>0</v>
      </c>
      <c r="AH39" s="3" t="str">
        <f t="shared" si="0"/>
        <v>Maplewood Career Center</v>
      </c>
      <c r="AI39" s="3" t="str">
        <f>'St of Act-Rev'!A39</f>
        <v>Maplewood Career Center</v>
      </c>
      <c r="AJ39" s="3" t="b">
        <f t="shared" si="1"/>
        <v>1</v>
      </c>
      <c r="AK39" s="3" t="str">
        <f>'St of Act-Exp'!A39</f>
        <v>Maplewood Career Center</v>
      </c>
      <c r="AL39" s="3" t="b">
        <f t="shared" si="2"/>
        <v>1</v>
      </c>
      <c r="AN39" s="3" t="str">
        <f t="shared" si="3"/>
        <v>Portage</v>
      </c>
      <c r="AO39" s="3" t="str">
        <f>'St of Act-Rev'!C39</f>
        <v>Portage</v>
      </c>
      <c r="AP39" s="3" t="b">
        <f>C39='St of Act-Rev'!C39</f>
        <v>1</v>
      </c>
      <c r="AQ39" s="3" t="str">
        <f>'St of Act-Exp'!C39</f>
        <v>Portage</v>
      </c>
      <c r="AR39" s="3" t="b">
        <f>C39='St of Act-Exp'!C39</f>
        <v>1</v>
      </c>
    </row>
    <row r="40" spans="1:44">
      <c r="A40" s="3" t="s">
        <v>223</v>
      </c>
      <c r="C40" s="3" t="s">
        <v>181</v>
      </c>
      <c r="E40" s="12">
        <v>62109</v>
      </c>
      <c r="G40" s="3">
        <f t="shared" si="6"/>
        <v>17401873</v>
      </c>
      <c r="I40" s="3">
        <f>871302+6999200</f>
        <v>7870502</v>
      </c>
      <c r="K40" s="3">
        <v>25272375</v>
      </c>
      <c r="M40" s="3">
        <f t="shared" si="7"/>
        <v>8305782</v>
      </c>
      <c r="O40" s="3">
        <v>183807</v>
      </c>
      <c r="Q40" s="3">
        <f>1819608-183807</f>
        <v>1635801</v>
      </c>
      <c r="S40" s="3">
        <v>10125390</v>
      </c>
      <c r="U40" s="3">
        <v>7870502</v>
      </c>
      <c r="W40" s="3">
        <f t="shared" si="8"/>
        <v>594048</v>
      </c>
      <c r="Y40" s="3">
        <v>6682435</v>
      </c>
      <c r="AA40" s="3">
        <v>15146985</v>
      </c>
      <c r="AC40" s="3">
        <f>+K40-S40-AA40</f>
        <v>0</v>
      </c>
      <c r="AE40" s="3">
        <f>+G40+I40-M40-O40-U40-W40-Y40-Q40</f>
        <v>0</v>
      </c>
      <c r="AH40" s="3" t="str">
        <f t="shared" si="0"/>
        <v>Medina County JVSD</v>
      </c>
      <c r="AI40" s="3" t="str">
        <f>'St of Act-Rev'!A40</f>
        <v>Medina County JVSD</v>
      </c>
      <c r="AJ40" s="3" t="b">
        <f t="shared" si="1"/>
        <v>1</v>
      </c>
      <c r="AK40" s="3" t="str">
        <f>'St of Act-Exp'!A40</f>
        <v>Medina County JVSD</v>
      </c>
      <c r="AL40" s="3" t="b">
        <f t="shared" si="2"/>
        <v>1</v>
      </c>
      <c r="AN40" s="3" t="str">
        <f t="shared" si="3"/>
        <v>Medina</v>
      </c>
      <c r="AO40" s="3" t="str">
        <f>'St of Act-Rev'!C40</f>
        <v>Medina</v>
      </c>
      <c r="AP40" s="3" t="b">
        <f>C40='St of Act-Rev'!C40</f>
        <v>1</v>
      </c>
      <c r="AQ40" s="3" t="str">
        <f>'St of Act-Exp'!C40</f>
        <v>Medina</v>
      </c>
      <c r="AR40" s="3" t="b">
        <f>C40='St of Act-Exp'!C40</f>
        <v>1</v>
      </c>
    </row>
    <row r="41" spans="1:44">
      <c r="A41" s="3" t="s">
        <v>310</v>
      </c>
      <c r="C41" s="3" t="s">
        <v>184</v>
      </c>
      <c r="E41" s="12">
        <v>51284</v>
      </c>
      <c r="G41" s="3">
        <f t="shared" si="6"/>
        <v>16286807</v>
      </c>
      <c r="I41" s="3">
        <f>440000+22320959</f>
        <v>22760959</v>
      </c>
      <c r="K41" s="3">
        <v>39047766</v>
      </c>
      <c r="M41" s="3">
        <f t="shared" si="7"/>
        <v>12768702</v>
      </c>
      <c r="O41" s="3">
        <v>655011</v>
      </c>
      <c r="Q41" s="3">
        <f>10176030-655011</f>
        <v>9521019</v>
      </c>
      <c r="S41" s="3">
        <v>22944732</v>
      </c>
      <c r="U41" s="3">
        <v>16032264</v>
      </c>
      <c r="W41" s="3">
        <f t="shared" si="8"/>
        <v>265224</v>
      </c>
      <c r="Y41" s="3">
        <v>-194454</v>
      </c>
      <c r="AA41" s="3">
        <v>16103034</v>
      </c>
      <c r="AC41" s="3">
        <f t="shared" si="4"/>
        <v>0</v>
      </c>
      <c r="AE41" s="3">
        <f>+G41+I41-M41-O41-U41-W41-Y41-Q41</f>
        <v>0</v>
      </c>
      <c r="AG41" s="3" t="s">
        <v>396</v>
      </c>
      <c r="AH41" s="3" t="str">
        <f t="shared" si="0"/>
        <v>Miami Valley Career Tech Center</v>
      </c>
      <c r="AI41" s="3" t="str">
        <f>'St of Act-Rev'!A41</f>
        <v>Miami Valley Career Tech Center</v>
      </c>
      <c r="AJ41" s="3" t="b">
        <f t="shared" si="1"/>
        <v>1</v>
      </c>
      <c r="AK41" s="3" t="str">
        <f>'St of Act-Exp'!A41</f>
        <v>Miami Valley Career Tech Center</v>
      </c>
      <c r="AL41" s="3" t="b">
        <f t="shared" si="2"/>
        <v>1</v>
      </c>
      <c r="AN41" s="3" t="str">
        <f t="shared" si="3"/>
        <v>Montgomery</v>
      </c>
      <c r="AO41" s="3" t="str">
        <f>'St of Act-Rev'!C41</f>
        <v>Montgomery</v>
      </c>
      <c r="AP41" s="3" t="b">
        <f>C41='St of Act-Rev'!C41</f>
        <v>1</v>
      </c>
      <c r="AQ41" s="3" t="str">
        <f>'St of Act-Exp'!C41</f>
        <v>Montgomery</v>
      </c>
      <c r="AR41" s="3" t="b">
        <f>C41='St of Act-Exp'!C41</f>
        <v>1</v>
      </c>
    </row>
    <row r="42" spans="1:44">
      <c r="A42" s="3" t="s">
        <v>397</v>
      </c>
      <c r="C42" s="3" t="s">
        <v>186</v>
      </c>
      <c r="E42" s="12">
        <v>51300</v>
      </c>
      <c r="G42" s="3">
        <f t="shared" si="6"/>
        <v>80772338</v>
      </c>
      <c r="I42" s="3">
        <f>2163394+3861523</f>
        <v>6024917</v>
      </c>
      <c r="K42" s="3">
        <v>86797255</v>
      </c>
      <c r="M42" s="3">
        <f t="shared" si="7"/>
        <v>12101821</v>
      </c>
      <c r="O42" s="3">
        <v>1904836</v>
      </c>
      <c r="Q42" s="3">
        <f>20187450-1904836</f>
        <v>18282614</v>
      </c>
      <c r="S42" s="3">
        <v>32289271</v>
      </c>
      <c r="U42" s="3">
        <v>7683817</v>
      </c>
      <c r="W42" s="3">
        <f t="shared" si="8"/>
        <v>30546282</v>
      </c>
      <c r="Y42" s="3">
        <v>16277885</v>
      </c>
      <c r="AA42" s="3">
        <v>54507984</v>
      </c>
      <c r="AC42" s="3">
        <f t="shared" si="4"/>
        <v>0</v>
      </c>
      <c r="AE42" s="3">
        <f t="shared" si="5"/>
        <v>0</v>
      </c>
      <c r="AH42" s="3" t="str">
        <f t="shared" si="0"/>
        <v>Mid-East Career &amp; Tech Centers</v>
      </c>
      <c r="AI42" s="3" t="str">
        <f>'St of Act-Rev'!A42</f>
        <v>Mid-East Career &amp; Tech Centers</v>
      </c>
      <c r="AJ42" s="3" t="b">
        <f t="shared" si="1"/>
        <v>1</v>
      </c>
      <c r="AK42" s="3" t="str">
        <f>'St of Act-Exp'!A42</f>
        <v>Mid-East Career &amp; Tech Centers</v>
      </c>
      <c r="AL42" s="3" t="b">
        <f t="shared" si="2"/>
        <v>1</v>
      </c>
      <c r="AN42" s="3" t="str">
        <f t="shared" si="3"/>
        <v>Muskingum</v>
      </c>
      <c r="AO42" s="3" t="str">
        <f>'St of Act-Rev'!C42</f>
        <v>Muskingum</v>
      </c>
      <c r="AP42" s="3" t="b">
        <f>C42='St of Act-Rev'!C42</f>
        <v>1</v>
      </c>
      <c r="AQ42" s="3" t="str">
        <f>'St of Act-Exp'!C42</f>
        <v>Muskingum</v>
      </c>
      <c r="AR42" s="3" t="b">
        <f>C42='St of Act-Exp'!C42</f>
        <v>1</v>
      </c>
    </row>
    <row r="43" spans="1:44">
      <c r="A43" s="3" t="s">
        <v>218</v>
      </c>
      <c r="C43" s="3" t="s">
        <v>177</v>
      </c>
      <c r="E43" s="12">
        <v>51334</v>
      </c>
      <c r="G43" s="3">
        <f t="shared" si="6"/>
        <v>14962660</v>
      </c>
      <c r="I43" s="3">
        <f>412076+6165818</f>
        <v>6577894</v>
      </c>
      <c r="K43" s="3">
        <v>21540554</v>
      </c>
      <c r="M43" s="3">
        <f t="shared" si="7"/>
        <v>5421598</v>
      </c>
      <c r="O43" s="3">
        <v>391304</v>
      </c>
      <c r="Q43" s="3">
        <f>2248840-391304</f>
        <v>1857536</v>
      </c>
      <c r="S43" s="3">
        <v>7670438</v>
      </c>
      <c r="U43" s="3">
        <v>5650473</v>
      </c>
      <c r="W43" s="3">
        <f t="shared" si="8"/>
        <v>247599</v>
      </c>
      <c r="Y43" s="3">
        <v>7972044</v>
      </c>
      <c r="AA43" s="3">
        <v>13870116</v>
      </c>
      <c r="AC43" s="3">
        <f t="shared" si="4"/>
        <v>0</v>
      </c>
      <c r="AE43" s="3">
        <f t="shared" si="5"/>
        <v>0</v>
      </c>
      <c r="AG43" s="32" t="s">
        <v>401</v>
      </c>
      <c r="AH43" s="3" t="str">
        <f t="shared" si="0"/>
        <v>Ohio Hi-Point JVSD</v>
      </c>
      <c r="AI43" s="3" t="str">
        <f>'St of Act-Rev'!A43</f>
        <v>Ohio Hi-Point JVSD</v>
      </c>
      <c r="AJ43" s="3" t="b">
        <f t="shared" si="1"/>
        <v>1</v>
      </c>
      <c r="AK43" s="3" t="str">
        <f>'St of Act-Exp'!A43</f>
        <v>Ohio Hi-Point JVSD</v>
      </c>
      <c r="AL43" s="3" t="b">
        <f t="shared" si="2"/>
        <v>1</v>
      </c>
      <c r="AN43" s="3" t="str">
        <f t="shared" si="3"/>
        <v>Logan</v>
      </c>
      <c r="AO43" s="3" t="str">
        <f>'St of Act-Rev'!C43</f>
        <v>Logan</v>
      </c>
      <c r="AP43" s="3" t="b">
        <f>C43='St of Act-Rev'!C43</f>
        <v>1</v>
      </c>
      <c r="AQ43" s="3" t="str">
        <f>'St of Act-Exp'!C43</f>
        <v>Logan</v>
      </c>
      <c r="AR43" s="3" t="b">
        <f>C43='St of Act-Exp'!C43</f>
        <v>1</v>
      </c>
    </row>
    <row r="44" spans="1:44">
      <c r="A44" s="3" t="s">
        <v>402</v>
      </c>
      <c r="C44" s="3" t="s">
        <v>209</v>
      </c>
      <c r="E44" s="12">
        <v>51359</v>
      </c>
      <c r="G44" s="3">
        <f t="shared" si="6"/>
        <v>42516354</v>
      </c>
      <c r="I44" s="3">
        <v>89746327</v>
      </c>
      <c r="K44" s="3">
        <v>132262681</v>
      </c>
      <c r="M44" s="3">
        <f t="shared" si="7"/>
        <v>17570096</v>
      </c>
      <c r="O44" s="3">
        <v>2312744</v>
      </c>
      <c r="Q44" s="3">
        <f>60334247-2312744</f>
        <v>58021503</v>
      </c>
      <c r="S44" s="3">
        <v>77904343</v>
      </c>
      <c r="U44" s="3">
        <v>32328263</v>
      </c>
      <c r="W44" s="3">
        <f t="shared" si="8"/>
        <v>16063439</v>
      </c>
      <c r="Y44" s="3">
        <v>5966636</v>
      </c>
      <c r="AA44" s="3">
        <v>54358338</v>
      </c>
      <c r="AC44" s="3">
        <f t="shared" si="4"/>
        <v>0</v>
      </c>
      <c r="AE44" s="3">
        <f t="shared" si="5"/>
        <v>0</v>
      </c>
      <c r="AG44" s="32" t="s">
        <v>403</v>
      </c>
      <c r="AH44" s="3" t="str">
        <f t="shared" si="0"/>
        <v>Penta Career Center</v>
      </c>
      <c r="AI44" s="3" t="str">
        <f>'St of Act-Rev'!A44</f>
        <v>Penta Career Center</v>
      </c>
      <c r="AJ44" s="3" t="b">
        <f t="shared" si="1"/>
        <v>1</v>
      </c>
      <c r="AK44" s="3" t="str">
        <f>'St of Act-Exp'!A44</f>
        <v>Penta Career Center</v>
      </c>
      <c r="AL44" s="3" t="b">
        <f t="shared" si="2"/>
        <v>1</v>
      </c>
      <c r="AN44" s="3" t="str">
        <f t="shared" si="3"/>
        <v>Wood</v>
      </c>
      <c r="AO44" s="3" t="str">
        <f>'St of Act-Rev'!C44</f>
        <v>Wood</v>
      </c>
      <c r="AP44" s="3" t="b">
        <f>C44='St of Act-Rev'!C44</f>
        <v>1</v>
      </c>
      <c r="AQ44" s="3" t="str">
        <f>'St of Act-Exp'!C44</f>
        <v>Wood</v>
      </c>
      <c r="AR44" s="3" t="b">
        <f>C44='St of Act-Exp'!C44</f>
        <v>1</v>
      </c>
    </row>
    <row r="45" spans="1:44">
      <c r="A45" s="3" t="s">
        <v>407</v>
      </c>
      <c r="C45" s="3" t="s">
        <v>194</v>
      </c>
      <c r="E45" s="12">
        <v>51433</v>
      </c>
      <c r="G45" s="3">
        <f t="shared" si="6"/>
        <v>16802922</v>
      </c>
      <c r="I45" s="3">
        <f>186368+20599693</f>
        <v>20786061</v>
      </c>
      <c r="K45" s="3">
        <v>37588983</v>
      </c>
      <c r="M45" s="3">
        <f t="shared" si="7"/>
        <v>5819210</v>
      </c>
      <c r="O45" s="3">
        <v>526964</v>
      </c>
      <c r="Q45" s="3">
        <f>4521799-526964</f>
        <v>3994835</v>
      </c>
      <c r="S45" s="3">
        <v>10341009</v>
      </c>
      <c r="U45" s="3">
        <v>17784311</v>
      </c>
      <c r="W45" s="3">
        <f t="shared" si="8"/>
        <v>3172263</v>
      </c>
      <c r="Y45" s="3">
        <v>6291400</v>
      </c>
      <c r="AA45" s="3">
        <v>27247974</v>
      </c>
      <c r="AC45" s="3">
        <f t="shared" si="4"/>
        <v>0</v>
      </c>
      <c r="AE45" s="3">
        <f t="shared" si="5"/>
        <v>0</v>
      </c>
      <c r="AH45" s="3" t="str">
        <f t="shared" si="0"/>
        <v>Pickaway-Ross Career &amp; Tech Center</v>
      </c>
      <c r="AI45" s="3" t="str">
        <f>'St of Act-Rev'!A45</f>
        <v>Pickaway-Ross Career &amp; Tech Center</v>
      </c>
      <c r="AJ45" s="3" t="b">
        <f t="shared" si="1"/>
        <v>1</v>
      </c>
      <c r="AK45" s="3" t="str">
        <f>'St of Act-Exp'!A45</f>
        <v>Pickaway-Ross Career &amp; Tech Center</v>
      </c>
      <c r="AL45" s="3" t="b">
        <f t="shared" si="2"/>
        <v>1</v>
      </c>
      <c r="AN45" s="3" t="str">
        <f t="shared" si="3"/>
        <v>Ross</v>
      </c>
      <c r="AO45" s="3" t="str">
        <f>'St of Act-Rev'!C45</f>
        <v>Ross</v>
      </c>
      <c r="AP45" s="3" t="b">
        <f>C45='St of Act-Rev'!C45</f>
        <v>1</v>
      </c>
      <c r="AQ45" s="3" t="str">
        <f>'St of Act-Exp'!C45</f>
        <v>Ross</v>
      </c>
      <c r="AR45" s="3" t="b">
        <f>C45='St of Act-Exp'!C45</f>
        <v>1</v>
      </c>
    </row>
    <row r="46" spans="1:44">
      <c r="A46" s="3" t="s">
        <v>257</v>
      </c>
      <c r="C46" s="3" t="s">
        <v>225</v>
      </c>
      <c r="E46" s="12">
        <v>51375</v>
      </c>
      <c r="G46" s="3">
        <f t="shared" si="6"/>
        <v>6077670</v>
      </c>
      <c r="I46" s="3">
        <f>152681+18146463</f>
        <v>18299144</v>
      </c>
      <c r="K46" s="3">
        <v>24376814</v>
      </c>
      <c r="M46" s="3">
        <f t="shared" si="7"/>
        <v>1619894</v>
      </c>
      <c r="O46" s="3">
        <v>219658</v>
      </c>
      <c r="Q46" s="3">
        <f>3660041-219658</f>
        <v>3440383</v>
      </c>
      <c r="S46" s="3">
        <v>5279935</v>
      </c>
      <c r="U46" s="3">
        <v>15037465</v>
      </c>
      <c r="W46" s="3">
        <f t="shared" si="8"/>
        <v>1156076</v>
      </c>
      <c r="Y46" s="3">
        <v>2903338</v>
      </c>
      <c r="AA46" s="3">
        <v>19096879</v>
      </c>
      <c r="AC46" s="3">
        <f t="shared" si="4"/>
        <v>0</v>
      </c>
      <c r="AE46" s="3">
        <f t="shared" si="5"/>
        <v>0</v>
      </c>
      <c r="AH46" s="3" t="str">
        <f t="shared" si="0"/>
        <v>Pike County JVSD</v>
      </c>
      <c r="AI46" s="3" t="str">
        <f>'St of Act-Rev'!A46</f>
        <v>Pike County JVSD</v>
      </c>
      <c r="AJ46" s="3" t="b">
        <f t="shared" si="1"/>
        <v>1</v>
      </c>
      <c r="AK46" s="3" t="str">
        <f>'St of Act-Exp'!A46</f>
        <v>Pike County JVSD</v>
      </c>
      <c r="AL46" s="3" t="b">
        <f t="shared" si="2"/>
        <v>1</v>
      </c>
      <c r="AN46" s="3" t="str">
        <f t="shared" si="3"/>
        <v>Pike</v>
      </c>
      <c r="AO46" s="3" t="str">
        <f>'St of Act-Rev'!C46</f>
        <v>Pike</v>
      </c>
      <c r="AP46" s="3" t="b">
        <f>C46='St of Act-Rev'!C46</f>
        <v>1</v>
      </c>
      <c r="AQ46" s="3" t="str">
        <f>'St of Act-Exp'!C46</f>
        <v>Pike</v>
      </c>
      <c r="AR46" s="3" t="b">
        <f>C46='St of Act-Exp'!C46</f>
        <v>1</v>
      </c>
    </row>
    <row r="47" spans="1:44">
      <c r="A47" s="3" t="s">
        <v>311</v>
      </c>
      <c r="C47" s="3" t="s">
        <v>193</v>
      </c>
      <c r="E47" s="12">
        <v>51417</v>
      </c>
      <c r="G47" s="3">
        <f t="shared" si="6"/>
        <v>34181550</v>
      </c>
      <c r="I47" s="3">
        <v>25938759</v>
      </c>
      <c r="K47" s="3">
        <v>60120309</v>
      </c>
      <c r="M47" s="3">
        <f t="shared" si="7"/>
        <v>6232753</v>
      </c>
      <c r="O47" s="3">
        <v>640310</v>
      </c>
      <c r="Q47" s="3">
        <f>13127633-640310</f>
        <v>12487323</v>
      </c>
      <c r="S47" s="3">
        <v>19360386</v>
      </c>
      <c r="U47" s="3">
        <v>20386733</v>
      </c>
      <c r="W47" s="3">
        <f t="shared" si="8"/>
        <v>5614054</v>
      </c>
      <c r="Y47" s="3">
        <v>14759136</v>
      </c>
      <c r="AA47" s="3">
        <v>40759923</v>
      </c>
      <c r="AC47" s="3">
        <f t="shared" si="4"/>
        <v>0</v>
      </c>
      <c r="AE47" s="3">
        <f t="shared" si="5"/>
        <v>0</v>
      </c>
      <c r="AG47" s="32"/>
      <c r="AH47" s="3" t="str">
        <f t="shared" si="0"/>
        <v>Pioneer Career &amp; Tech Center</v>
      </c>
      <c r="AI47" s="3" t="str">
        <f>'St of Act-Rev'!A47</f>
        <v>Pioneer Career &amp; Tech Center</v>
      </c>
      <c r="AJ47" s="3" t="b">
        <f t="shared" si="1"/>
        <v>1</v>
      </c>
      <c r="AK47" s="3" t="str">
        <f>'St of Act-Exp'!A47</f>
        <v>Pioneer Career &amp; Tech Center</v>
      </c>
      <c r="AL47" s="3" t="b">
        <f t="shared" si="2"/>
        <v>1</v>
      </c>
      <c r="AN47" s="3" t="str">
        <f t="shared" si="3"/>
        <v>Richland</v>
      </c>
      <c r="AO47" s="3" t="str">
        <f>'St of Act-Rev'!C47</f>
        <v>Richland</v>
      </c>
      <c r="AP47" s="3" t="b">
        <f>C47='St of Act-Rev'!C47</f>
        <v>1</v>
      </c>
      <c r="AQ47" s="3" t="str">
        <f>'St of Act-Exp'!C47</f>
        <v>Richland</v>
      </c>
      <c r="AR47" s="3" t="b">
        <f>C47='St of Act-Exp'!C47</f>
        <v>1</v>
      </c>
    </row>
    <row r="48" spans="1:44">
      <c r="A48" s="3" t="s">
        <v>258</v>
      </c>
      <c r="C48" s="3" t="s">
        <v>160</v>
      </c>
      <c r="E48" s="12">
        <v>50948</v>
      </c>
      <c r="G48" s="3">
        <f t="shared" si="6"/>
        <v>16528893</v>
      </c>
      <c r="I48" s="3">
        <f>261490+7053509</f>
        <v>7314999</v>
      </c>
      <c r="K48" s="3">
        <v>23843892</v>
      </c>
      <c r="M48" s="3">
        <f t="shared" si="7"/>
        <v>8806645</v>
      </c>
      <c r="O48" s="3">
        <v>715071</v>
      </c>
      <c r="Q48" s="3">
        <f>1765114-715701</f>
        <v>1049413</v>
      </c>
      <c r="S48" s="3">
        <v>10571129</v>
      </c>
      <c r="U48" s="3">
        <v>7314999</v>
      </c>
      <c r="W48" s="3">
        <f t="shared" si="8"/>
        <v>481454</v>
      </c>
      <c r="Y48" s="3">
        <v>5476310</v>
      </c>
      <c r="AA48" s="3">
        <v>13272763</v>
      </c>
      <c r="AC48" s="3">
        <f t="shared" si="4"/>
        <v>0</v>
      </c>
      <c r="AE48" s="3">
        <f t="shared" si="5"/>
        <v>0</v>
      </c>
      <c r="AH48" s="3" t="str">
        <f t="shared" si="0"/>
        <v>Polaris Career Center</v>
      </c>
      <c r="AI48" s="3" t="str">
        <f>'St of Act-Rev'!A48</f>
        <v>Polaris Career Center</v>
      </c>
      <c r="AJ48" s="3" t="b">
        <f t="shared" si="1"/>
        <v>1</v>
      </c>
      <c r="AK48" s="3" t="str">
        <f>'St of Act-Exp'!A48</f>
        <v>Polaris Career Center</v>
      </c>
      <c r="AL48" s="3" t="b">
        <f t="shared" si="2"/>
        <v>1</v>
      </c>
      <c r="AN48" s="3" t="str">
        <f t="shared" si="3"/>
        <v>Cuyahoga</v>
      </c>
      <c r="AO48" s="3" t="str">
        <f>'St of Act-Rev'!C48</f>
        <v>Cuyahoga</v>
      </c>
      <c r="AP48" s="3" t="b">
        <f>C48='St of Act-Rev'!C48</f>
        <v>1</v>
      </c>
      <c r="AQ48" s="3" t="str">
        <f>'St of Act-Exp'!C48</f>
        <v>Cuyahoga</v>
      </c>
      <c r="AR48" s="3" t="b">
        <f>C48='St of Act-Exp'!C48</f>
        <v>1</v>
      </c>
    </row>
    <row r="49" spans="1:44">
      <c r="A49" s="3" t="s">
        <v>259</v>
      </c>
      <c r="C49" s="3" t="s">
        <v>200</v>
      </c>
      <c r="E49" s="12">
        <v>63495</v>
      </c>
      <c r="G49" s="3">
        <f t="shared" si="6"/>
        <v>16227393</v>
      </c>
      <c r="I49" s="3">
        <f>195190+3349383</f>
        <v>3544573</v>
      </c>
      <c r="K49" s="3">
        <v>19771966</v>
      </c>
      <c r="M49" s="3">
        <f t="shared" si="7"/>
        <v>3452621</v>
      </c>
      <c r="O49" s="3">
        <v>105539</v>
      </c>
      <c r="Q49" s="3">
        <f>796500-105539</f>
        <v>690961</v>
      </c>
      <c r="S49" s="3">
        <v>4249121</v>
      </c>
      <c r="U49" s="3">
        <v>3277904</v>
      </c>
      <c r="W49" s="3">
        <f t="shared" si="8"/>
        <v>1387156</v>
      </c>
      <c r="Y49" s="3">
        <v>10857785</v>
      </c>
      <c r="AA49" s="3">
        <v>15522845</v>
      </c>
      <c r="AC49" s="3">
        <f t="shared" si="4"/>
        <v>0</v>
      </c>
      <c r="AE49" s="3">
        <f t="shared" si="5"/>
        <v>0</v>
      </c>
      <c r="AH49" s="3" t="str">
        <f t="shared" si="0"/>
        <v>Portage Lakes Career Center</v>
      </c>
      <c r="AI49" s="3" t="str">
        <f>'St of Act-Rev'!A49</f>
        <v>Portage Lakes Career Center</v>
      </c>
      <c r="AJ49" s="3" t="b">
        <f t="shared" si="1"/>
        <v>1</v>
      </c>
      <c r="AK49" s="3" t="str">
        <f>'St of Act-Exp'!A49</f>
        <v>Portage Lakes Career Center</v>
      </c>
      <c r="AL49" s="3" t="b">
        <f t="shared" si="2"/>
        <v>1</v>
      </c>
      <c r="AN49" s="3" t="str">
        <f t="shared" si="3"/>
        <v>Summit</v>
      </c>
      <c r="AO49" s="3" t="str">
        <f>'St of Act-Rev'!C49</f>
        <v>Summit</v>
      </c>
      <c r="AP49" s="3" t="b">
        <f>C49='St of Act-Rev'!C49</f>
        <v>1</v>
      </c>
      <c r="AQ49" s="3" t="str">
        <f>'St of Act-Exp'!C49</f>
        <v>Summit</v>
      </c>
      <c r="AR49" s="3" t="b">
        <f>C49='St of Act-Exp'!C49</f>
        <v>1</v>
      </c>
    </row>
    <row r="50" spans="1:44">
      <c r="A50" s="3" t="s">
        <v>260</v>
      </c>
      <c r="C50" s="3" t="s">
        <v>196</v>
      </c>
      <c r="E50" s="12">
        <v>51490</v>
      </c>
      <c r="G50" s="3">
        <f t="shared" si="6"/>
        <v>9959865</v>
      </c>
      <c r="I50" s="3">
        <f>33852+22019052</f>
        <v>22052904</v>
      </c>
      <c r="K50" s="3">
        <v>32012769</v>
      </c>
      <c r="M50" s="3">
        <f t="shared" si="7"/>
        <v>3279703</v>
      </c>
      <c r="O50" s="3">
        <v>165397</v>
      </c>
      <c r="Q50" s="3">
        <v>3570198</v>
      </c>
      <c r="S50" s="3">
        <v>7015298</v>
      </c>
      <c r="U50" s="3">
        <v>18786104</v>
      </c>
      <c r="W50" s="3">
        <f t="shared" si="8"/>
        <v>3813679</v>
      </c>
      <c r="Y50" s="3">
        <v>2397688</v>
      </c>
      <c r="AA50" s="3">
        <v>24997471</v>
      </c>
      <c r="AC50" s="3">
        <f t="shared" si="4"/>
        <v>0</v>
      </c>
      <c r="AE50" s="3">
        <f t="shared" si="5"/>
        <v>0</v>
      </c>
      <c r="AH50" s="3" t="str">
        <f t="shared" si="0"/>
        <v>Scioto County JVSD</v>
      </c>
      <c r="AI50" s="3" t="str">
        <f>'St of Act-Rev'!A50</f>
        <v>Scioto County JVSD</v>
      </c>
      <c r="AJ50" s="3" t="b">
        <f t="shared" si="1"/>
        <v>1</v>
      </c>
      <c r="AK50" s="3" t="str">
        <f>'St of Act-Exp'!A50</f>
        <v>Scioto County JVSD</v>
      </c>
      <c r="AL50" s="3" t="b">
        <f t="shared" si="2"/>
        <v>1</v>
      </c>
      <c r="AN50" s="3" t="str">
        <f t="shared" si="3"/>
        <v>Scioto</v>
      </c>
      <c r="AO50" s="3" t="str">
        <f>'St of Act-Rev'!C50</f>
        <v>Scioto</v>
      </c>
      <c r="AP50" s="3" t="b">
        <f>C50='St of Act-Rev'!C50</f>
        <v>1</v>
      </c>
      <c r="AQ50" s="3" t="str">
        <f>'St of Act-Exp'!C50</f>
        <v>Scioto</v>
      </c>
      <c r="AR50" s="3" t="b">
        <f>C50='St of Act-Exp'!C50</f>
        <v>1</v>
      </c>
    </row>
    <row r="51" spans="1:44">
      <c r="A51" s="3" t="s">
        <v>211</v>
      </c>
      <c r="C51" s="3" t="s">
        <v>153</v>
      </c>
      <c r="E51" s="12">
        <v>50799</v>
      </c>
      <c r="G51" s="3">
        <f t="shared" si="6"/>
        <v>10529319</v>
      </c>
      <c r="I51" s="3">
        <f>339053+13086716</f>
        <v>13425769</v>
      </c>
      <c r="K51" s="3">
        <v>23955088</v>
      </c>
      <c r="M51" s="3">
        <f t="shared" si="7"/>
        <v>2189721</v>
      </c>
      <c r="O51" s="3">
        <v>235936</v>
      </c>
      <c r="Q51" s="3">
        <v>3396374</v>
      </c>
      <c r="S51" s="3">
        <v>5822031</v>
      </c>
      <c r="U51" s="3">
        <v>11543323</v>
      </c>
      <c r="W51" s="3">
        <f t="shared" si="8"/>
        <v>3871428</v>
      </c>
      <c r="Y51" s="3">
        <v>2718306</v>
      </c>
      <c r="AA51" s="3">
        <v>18133057</v>
      </c>
      <c r="AC51" s="3">
        <f t="shared" si="4"/>
        <v>0</v>
      </c>
      <c r="AE51" s="3">
        <f t="shared" si="5"/>
        <v>0</v>
      </c>
      <c r="AH51" s="3" t="str">
        <f t="shared" si="0"/>
        <v>Southern Hills JVSD</v>
      </c>
      <c r="AI51" s="3" t="str">
        <f>'St of Act-Rev'!A51</f>
        <v>Southern Hills JVSD</v>
      </c>
      <c r="AJ51" s="3" t="b">
        <f t="shared" si="1"/>
        <v>1</v>
      </c>
      <c r="AK51" s="3" t="str">
        <f>'St of Act-Exp'!A51</f>
        <v>Southern Hills JVSD</v>
      </c>
      <c r="AL51" s="3" t="b">
        <f t="shared" si="2"/>
        <v>1</v>
      </c>
      <c r="AN51" s="3" t="str">
        <f t="shared" si="3"/>
        <v>Brown</v>
      </c>
      <c r="AO51" s="3" t="str">
        <f>'St of Act-Rev'!C51</f>
        <v>Brown</v>
      </c>
      <c r="AP51" s="3" t="b">
        <f>C51='St of Act-Rev'!C51</f>
        <v>1</v>
      </c>
      <c r="AQ51" s="3" t="str">
        <f>'St of Act-Exp'!C51</f>
        <v>Brown</v>
      </c>
      <c r="AR51" s="3" t="b">
        <f>C51='St of Act-Exp'!C51</f>
        <v>1</v>
      </c>
    </row>
    <row r="52" spans="1:44">
      <c r="A52" s="3" t="s">
        <v>286</v>
      </c>
      <c r="C52" s="3" t="s">
        <v>155</v>
      </c>
      <c r="E52" s="12">
        <v>51532</v>
      </c>
      <c r="G52" s="3">
        <f t="shared" si="6"/>
        <v>13461376</v>
      </c>
      <c r="I52" s="3">
        <f>647488+3967761</f>
        <v>4615249</v>
      </c>
      <c r="K52" s="3">
        <v>18076625</v>
      </c>
      <c r="M52" s="3">
        <f t="shared" si="7"/>
        <v>4363593</v>
      </c>
      <c r="O52" s="3">
        <v>560968</v>
      </c>
      <c r="Q52" s="3">
        <v>3320514</v>
      </c>
      <c r="S52" s="3">
        <v>8245075</v>
      </c>
      <c r="U52" s="3">
        <v>1431300</v>
      </c>
      <c r="W52" s="3">
        <f t="shared" si="8"/>
        <v>137435</v>
      </c>
      <c r="Y52" s="3">
        <v>8262815</v>
      </c>
      <c r="AA52" s="3">
        <v>9831550</v>
      </c>
      <c r="AC52" s="3">
        <f>+K52-S52-AA52</f>
        <v>0</v>
      </c>
      <c r="AE52" s="3">
        <f>+G52+I52-M52-O52-U52-W52-Y52-Q52</f>
        <v>0</v>
      </c>
      <c r="AG52" s="32" t="s">
        <v>305</v>
      </c>
      <c r="AH52" s="3" t="str">
        <f t="shared" si="0"/>
        <v>Springfield-Clark Co Career Tech Center</v>
      </c>
      <c r="AI52" s="3" t="str">
        <f>'St of Act-Rev'!A52</f>
        <v>Springfield-Clark Co Career Tech Center</v>
      </c>
      <c r="AJ52" s="3" t="b">
        <f t="shared" si="1"/>
        <v>1</v>
      </c>
      <c r="AK52" s="3" t="str">
        <f>'St of Act-Exp'!A52</f>
        <v>Springfield-Clark Co Career Tech Center</v>
      </c>
      <c r="AL52" s="3" t="b">
        <f t="shared" si="2"/>
        <v>1</v>
      </c>
      <c r="AN52" s="3" t="str">
        <f t="shared" si="3"/>
        <v>Clark</v>
      </c>
      <c r="AO52" s="3" t="str">
        <f>'St of Act-Rev'!C52</f>
        <v>Clark</v>
      </c>
      <c r="AP52" s="3" t="b">
        <f>C52='St of Act-Rev'!C52</f>
        <v>1</v>
      </c>
      <c r="AQ52" s="3" t="str">
        <f>'St of Act-Exp'!C52</f>
        <v>Clark</v>
      </c>
      <c r="AR52" s="3" t="b">
        <f>C52='St of Act-Exp'!C52</f>
        <v>1</v>
      </c>
    </row>
    <row r="53" spans="1:44">
      <c r="A53" s="3" t="s">
        <v>226</v>
      </c>
      <c r="C53" s="3" t="s">
        <v>199</v>
      </c>
      <c r="E53" s="12">
        <v>62026</v>
      </c>
      <c r="G53" s="3">
        <f t="shared" si="6"/>
        <v>12957201</v>
      </c>
      <c r="I53" s="3">
        <f>144865+5642982</f>
        <v>5787847</v>
      </c>
      <c r="K53" s="3">
        <v>18745048</v>
      </c>
      <c r="M53" s="3">
        <f t="shared" si="7"/>
        <v>2741789</v>
      </c>
      <c r="O53" s="3">
        <v>144559</v>
      </c>
      <c r="Q53" s="3">
        <v>814559</v>
      </c>
      <c r="S53" s="3">
        <v>3700907</v>
      </c>
      <c r="U53" s="3">
        <v>5787847</v>
      </c>
      <c r="W53" s="3">
        <f t="shared" si="8"/>
        <v>111430</v>
      </c>
      <c r="Y53" s="3">
        <v>9144864</v>
      </c>
      <c r="AA53" s="3">
        <v>15044141</v>
      </c>
      <c r="AC53" s="3">
        <f>+K53-S53-AA53</f>
        <v>0</v>
      </c>
      <c r="AE53" s="3">
        <f>+G53+I53-M53-O53-U53-W53-Y53-Q53</f>
        <v>0</v>
      </c>
      <c r="AH53" s="3" t="str">
        <f t="shared" si="0"/>
        <v>Stark County Area JVSD</v>
      </c>
      <c r="AI53" s="3" t="str">
        <f>'St of Act-Rev'!A53</f>
        <v>Stark County Area JVSD</v>
      </c>
      <c r="AJ53" s="3" t="b">
        <f t="shared" si="1"/>
        <v>1</v>
      </c>
      <c r="AK53" s="3" t="str">
        <f>'St of Act-Exp'!A53</f>
        <v>Stark County Area JVSD</v>
      </c>
      <c r="AL53" s="3" t="b">
        <f t="shared" si="2"/>
        <v>1</v>
      </c>
      <c r="AN53" s="3" t="str">
        <f t="shared" si="3"/>
        <v>Stark</v>
      </c>
      <c r="AO53" s="3" t="str">
        <f>'St of Act-Rev'!C53</f>
        <v>Stark</v>
      </c>
      <c r="AP53" s="3" t="b">
        <f>C53='St of Act-Rev'!C53</f>
        <v>1</v>
      </c>
      <c r="AQ53" s="3" t="str">
        <f>'St of Act-Exp'!C53</f>
        <v>Stark</v>
      </c>
      <c r="AR53" s="3" t="b">
        <f>C53='St of Act-Exp'!C53</f>
        <v>1</v>
      </c>
    </row>
    <row r="54" spans="1:44">
      <c r="A54" s="3" t="s">
        <v>290</v>
      </c>
      <c r="B54" s="16"/>
      <c r="C54" s="16" t="s">
        <v>220</v>
      </c>
      <c r="G54" s="3">
        <f t="shared" si="6"/>
        <v>14540153</v>
      </c>
      <c r="I54" s="3">
        <f>150000+17227784</f>
        <v>17377784</v>
      </c>
      <c r="K54" s="3">
        <v>31917937</v>
      </c>
      <c r="M54" s="3">
        <f t="shared" si="7"/>
        <v>6578772</v>
      </c>
      <c r="O54" s="3">
        <v>789378</v>
      </c>
      <c r="Q54" s="3">
        <v>4868696</v>
      </c>
      <c r="S54" s="3">
        <v>12236846</v>
      </c>
      <c r="U54" s="3">
        <v>12529389</v>
      </c>
      <c r="W54" s="3">
        <f t="shared" si="8"/>
        <v>241328</v>
      </c>
      <c r="Y54" s="3">
        <v>6910374</v>
      </c>
      <c r="AA54" s="3">
        <v>19681091</v>
      </c>
      <c r="AC54" s="3">
        <f t="shared" ref="AC54:AC55" si="9">+K54-S54-AA54</f>
        <v>0</v>
      </c>
      <c r="AE54" s="3">
        <f t="shared" ref="AE54:AE55" si="10">+G54+I54-M54-O54-U54-W54-Y54-Q54</f>
        <v>0</v>
      </c>
      <c r="AH54" s="3" t="str">
        <f t="shared" si="0"/>
        <v>Tolles Career and Technical Center</v>
      </c>
      <c r="AI54" s="3" t="str">
        <f>'St of Act-Rev'!A54</f>
        <v>Tolles Career and Technical Center</v>
      </c>
      <c r="AJ54" s="3" t="b">
        <f t="shared" si="1"/>
        <v>1</v>
      </c>
      <c r="AK54" s="3" t="str">
        <f>'St of Act-Exp'!A54</f>
        <v>Tolles Career and Technical Center</v>
      </c>
      <c r="AL54" s="3" t="b">
        <f t="shared" si="2"/>
        <v>1</v>
      </c>
      <c r="AN54" s="3" t="str">
        <f t="shared" si="3"/>
        <v>Madison</v>
      </c>
      <c r="AO54" s="3" t="str">
        <f>'St of Act-Rev'!C54</f>
        <v>Madison</v>
      </c>
      <c r="AP54" s="3" t="b">
        <f>C54='St of Act-Rev'!C54</f>
        <v>1</v>
      </c>
      <c r="AQ54" s="3" t="str">
        <f>'St of Act-Exp'!C54</f>
        <v>Madison</v>
      </c>
      <c r="AR54" s="3" t="b">
        <f>C54='St of Act-Exp'!C54</f>
        <v>1</v>
      </c>
    </row>
    <row r="55" spans="1:44">
      <c r="A55" s="3" t="s">
        <v>312</v>
      </c>
      <c r="C55" s="3" t="s">
        <v>148</v>
      </c>
      <c r="E55" s="12">
        <v>51607</v>
      </c>
      <c r="G55" s="3">
        <f t="shared" si="6"/>
        <v>7329978</v>
      </c>
      <c r="I55" s="3">
        <f>47476+1348317</f>
        <v>1395793</v>
      </c>
      <c r="K55" s="3">
        <v>8725771</v>
      </c>
      <c r="M55" s="3">
        <f t="shared" si="7"/>
        <v>3445881</v>
      </c>
      <c r="O55" s="3">
        <v>86262</v>
      </c>
      <c r="Q55" s="3">
        <v>477162</v>
      </c>
      <c r="S55" s="3">
        <v>4009305</v>
      </c>
      <c r="U55" s="3">
        <v>1395793</v>
      </c>
      <c r="W55" s="3">
        <f t="shared" si="8"/>
        <v>666409</v>
      </c>
      <c r="Y55" s="3">
        <v>2654264</v>
      </c>
      <c r="AA55" s="3">
        <v>4716466</v>
      </c>
      <c r="AC55" s="3">
        <f t="shared" si="9"/>
        <v>0</v>
      </c>
      <c r="AE55" s="3">
        <f t="shared" si="10"/>
        <v>0</v>
      </c>
      <c r="AH55" s="3" t="str">
        <f t="shared" si="0"/>
        <v>Tri County Career Center</v>
      </c>
      <c r="AI55" s="3" t="str">
        <f>'St of Act-Rev'!A55</f>
        <v>Tri County Career Center</v>
      </c>
      <c r="AJ55" s="3" t="b">
        <f t="shared" si="1"/>
        <v>1</v>
      </c>
      <c r="AK55" s="3" t="str">
        <f>'St of Act-Exp'!A55</f>
        <v>Tri County Career Center</v>
      </c>
      <c r="AL55" s="3" t="b">
        <f t="shared" si="2"/>
        <v>1</v>
      </c>
      <c r="AN55" s="3" t="str">
        <f t="shared" si="3"/>
        <v>Athens</v>
      </c>
      <c r="AO55" s="3" t="str">
        <f>'St of Act-Rev'!C55</f>
        <v>Athens</v>
      </c>
      <c r="AP55" s="3" t="b">
        <f>C55='St of Act-Rev'!C55</f>
        <v>1</v>
      </c>
      <c r="AQ55" s="3" t="str">
        <f>'St of Act-Exp'!C55</f>
        <v>Athens</v>
      </c>
      <c r="AR55" s="3" t="b">
        <f>C55='St of Act-Exp'!C55</f>
        <v>1</v>
      </c>
    </row>
    <row r="56" spans="1:44">
      <c r="A56" s="3" t="s">
        <v>221</v>
      </c>
      <c r="C56" s="3" t="s">
        <v>222</v>
      </c>
      <c r="E56" s="12">
        <v>65268</v>
      </c>
      <c r="G56" s="3">
        <f t="shared" si="6"/>
        <v>8002596</v>
      </c>
      <c r="I56" s="3">
        <f>241082+5454160</f>
        <v>5695242</v>
      </c>
      <c r="K56" s="3">
        <v>13697838</v>
      </c>
      <c r="M56" s="3">
        <f t="shared" si="7"/>
        <v>3357930</v>
      </c>
      <c r="O56" s="3">
        <v>100771</v>
      </c>
      <c r="Q56" s="3">
        <v>298526</v>
      </c>
      <c r="S56" s="3">
        <v>3757227</v>
      </c>
      <c r="U56" s="3">
        <v>5595244</v>
      </c>
      <c r="W56" s="3">
        <f t="shared" si="8"/>
        <v>45447</v>
      </c>
      <c r="Y56" s="3">
        <v>4299920</v>
      </c>
      <c r="AA56" s="3">
        <v>9940611</v>
      </c>
      <c r="AC56" s="3">
        <f t="shared" si="4"/>
        <v>0</v>
      </c>
      <c r="AE56" s="3">
        <f t="shared" si="5"/>
        <v>0</v>
      </c>
      <c r="AH56" s="3" t="str">
        <f t="shared" si="0"/>
        <v>Tri-Rivers JVSD</v>
      </c>
      <c r="AI56" s="3" t="str">
        <f>'St of Act-Rev'!A56</f>
        <v>Tri-Rivers JVSD</v>
      </c>
      <c r="AJ56" s="3" t="b">
        <f t="shared" si="1"/>
        <v>1</v>
      </c>
      <c r="AK56" s="3" t="str">
        <f>'St of Act-Exp'!A56</f>
        <v>Tri-Rivers JVSD</v>
      </c>
      <c r="AL56" s="3" t="b">
        <f t="shared" si="2"/>
        <v>1</v>
      </c>
      <c r="AN56" s="3" t="str">
        <f t="shared" si="3"/>
        <v>Marion</v>
      </c>
      <c r="AO56" s="3" t="str">
        <f>'St of Act-Rev'!C56</f>
        <v>Marion</v>
      </c>
      <c r="AP56" s="3" t="b">
        <f>C56='St of Act-Rev'!C56</f>
        <v>1</v>
      </c>
      <c r="AQ56" s="3" t="str">
        <f>'St of Act-Exp'!C56</f>
        <v>Marion</v>
      </c>
      <c r="AR56" s="3" t="b">
        <f>C56='St of Act-Exp'!C56</f>
        <v>1</v>
      </c>
    </row>
    <row r="57" spans="1:44">
      <c r="A57" s="3" t="s">
        <v>313</v>
      </c>
      <c r="C57" s="3" t="s">
        <v>201</v>
      </c>
      <c r="E57" s="12">
        <v>51631</v>
      </c>
      <c r="G57" s="3">
        <f t="shared" si="6"/>
        <v>18105746</v>
      </c>
      <c r="I57" s="3">
        <f>471674+8557845</f>
        <v>9029519</v>
      </c>
      <c r="K57" s="3">
        <v>27135265</v>
      </c>
      <c r="M57" s="3">
        <f t="shared" si="7"/>
        <v>6800120</v>
      </c>
      <c r="O57" s="3">
        <v>360201</v>
      </c>
      <c r="Q57" s="3">
        <v>6880927</v>
      </c>
      <c r="S57" s="3">
        <v>14041248</v>
      </c>
      <c r="U57" s="3">
        <v>3443519</v>
      </c>
      <c r="W57" s="3">
        <f t="shared" si="8"/>
        <v>1005994</v>
      </c>
      <c r="Y57" s="3">
        <v>8644504</v>
      </c>
      <c r="AA57" s="3">
        <v>13094017</v>
      </c>
      <c r="AC57" s="3">
        <f t="shared" si="4"/>
        <v>0</v>
      </c>
      <c r="AE57" s="3">
        <f t="shared" si="5"/>
        <v>0</v>
      </c>
      <c r="AH57" s="3" t="str">
        <f t="shared" si="0"/>
        <v>Trumbull Career &amp; Tech Center</v>
      </c>
      <c r="AI57" s="3" t="str">
        <f>'St of Act-Rev'!A57</f>
        <v>Trumbull Career &amp; Tech Center</v>
      </c>
      <c r="AJ57" s="3" t="b">
        <f t="shared" si="1"/>
        <v>1</v>
      </c>
      <c r="AK57" s="3" t="str">
        <f>'St of Act-Exp'!A57</f>
        <v>Trumbull Career &amp; Tech Center</v>
      </c>
      <c r="AL57" s="3" t="b">
        <f t="shared" si="2"/>
        <v>1</v>
      </c>
      <c r="AN57" s="3" t="str">
        <f t="shared" si="3"/>
        <v>Trumbull</v>
      </c>
      <c r="AO57" s="3" t="str">
        <f>'St of Act-Rev'!C57</f>
        <v>Trumbull</v>
      </c>
      <c r="AP57" s="3" t="b">
        <f>C57='St of Act-Rev'!C57</f>
        <v>1</v>
      </c>
      <c r="AQ57" s="3" t="str">
        <f>'St of Act-Exp'!C57</f>
        <v>Trumbull</v>
      </c>
      <c r="AR57" s="3" t="b">
        <f>C57='St of Act-Exp'!C57</f>
        <v>1</v>
      </c>
    </row>
    <row r="58" spans="1:44">
      <c r="A58" s="3" t="s">
        <v>212</v>
      </c>
      <c r="C58" s="3" t="s">
        <v>157</v>
      </c>
      <c r="E58" s="12">
        <v>62802</v>
      </c>
      <c r="G58" s="3">
        <f t="shared" si="6"/>
        <v>13781905</v>
      </c>
      <c r="I58" s="3">
        <f>100000+2000860</f>
        <v>2100860</v>
      </c>
      <c r="K58" s="3">
        <v>15882765</v>
      </c>
      <c r="M58" s="3">
        <f t="shared" si="7"/>
        <v>3403941</v>
      </c>
      <c r="O58" s="3">
        <v>125447</v>
      </c>
      <c r="Q58" s="3">
        <v>438054</v>
      </c>
      <c r="S58" s="3">
        <v>3967442</v>
      </c>
      <c r="U58" s="3">
        <v>2100860</v>
      </c>
      <c r="W58" s="3">
        <f t="shared" si="8"/>
        <v>636958</v>
      </c>
      <c r="Y58" s="3">
        <v>9177505</v>
      </c>
      <c r="AA58" s="3">
        <v>11915323</v>
      </c>
      <c r="AC58" s="3">
        <f t="shared" si="4"/>
        <v>0</v>
      </c>
      <c r="AE58" s="3">
        <f t="shared" si="5"/>
        <v>0</v>
      </c>
      <c r="AH58" s="3" t="str">
        <f t="shared" si="0"/>
        <v>U S Grant JVSD</v>
      </c>
      <c r="AI58" s="3" t="str">
        <f>'St of Act-Rev'!A58</f>
        <v>U S Grant JVSD</v>
      </c>
      <c r="AJ58" s="3" t="b">
        <f t="shared" si="1"/>
        <v>1</v>
      </c>
      <c r="AK58" s="3" t="str">
        <f>'St of Act-Exp'!A58</f>
        <v>U S Grant JVSD</v>
      </c>
      <c r="AL58" s="3" t="b">
        <f t="shared" si="2"/>
        <v>1</v>
      </c>
      <c r="AN58" s="3" t="str">
        <f t="shared" si="3"/>
        <v>Clermont</v>
      </c>
      <c r="AO58" s="3" t="str">
        <f>'St of Act-Rev'!C58</f>
        <v>Clermont</v>
      </c>
      <c r="AP58" s="3" t="b">
        <f>C58='St of Act-Rev'!C58</f>
        <v>1</v>
      </c>
      <c r="AQ58" s="3" t="str">
        <f>'St of Act-Exp'!C58</f>
        <v>Clermont</v>
      </c>
      <c r="AR58" s="3" t="b">
        <f>C58='St of Act-Exp'!C58</f>
        <v>1</v>
      </c>
    </row>
    <row r="59" spans="1:44">
      <c r="A59" s="3" t="s">
        <v>224</v>
      </c>
      <c r="C59" s="3" t="s">
        <v>183</v>
      </c>
      <c r="E59" s="12">
        <v>62125</v>
      </c>
      <c r="G59" s="3">
        <f t="shared" si="6"/>
        <v>35742093</v>
      </c>
      <c r="I59" s="3">
        <f>6091036+12039790</f>
        <v>18130826</v>
      </c>
      <c r="K59" s="3">
        <v>53872919</v>
      </c>
      <c r="M59" s="3">
        <f t="shared" si="7"/>
        <v>10370193</v>
      </c>
      <c r="O59" s="3">
        <v>848709</v>
      </c>
      <c r="Q59" s="3">
        <v>7150869</v>
      </c>
      <c r="S59" s="3">
        <v>18369771</v>
      </c>
      <c r="U59" s="3">
        <v>13935926</v>
      </c>
      <c r="W59" s="3">
        <f t="shared" si="8"/>
        <v>20242265</v>
      </c>
      <c r="Y59" s="3">
        <v>1324957</v>
      </c>
      <c r="AA59" s="3">
        <v>35503148</v>
      </c>
      <c r="AC59" s="3">
        <f t="shared" si="4"/>
        <v>0</v>
      </c>
      <c r="AE59" s="3">
        <f t="shared" si="5"/>
        <v>0</v>
      </c>
      <c r="AH59" s="3" t="str">
        <f t="shared" si="0"/>
        <v>Upper Valley JVSD</v>
      </c>
      <c r="AI59" s="3" t="str">
        <f>'St of Act-Rev'!A59</f>
        <v>Upper Valley JVSD</v>
      </c>
      <c r="AJ59" s="3" t="b">
        <f t="shared" si="1"/>
        <v>1</v>
      </c>
      <c r="AK59" s="3" t="str">
        <f>'St of Act-Exp'!A59</f>
        <v>Upper Valley JVSD</v>
      </c>
      <c r="AL59" s="3" t="b">
        <f t="shared" si="2"/>
        <v>1</v>
      </c>
      <c r="AN59" s="3" t="str">
        <f t="shared" si="3"/>
        <v>Miami</v>
      </c>
      <c r="AO59" s="3" t="str">
        <f>'St of Act-Rev'!C59</f>
        <v>Miami</v>
      </c>
      <c r="AP59" s="3" t="b">
        <f>C59='St of Act-Rev'!C59</f>
        <v>1</v>
      </c>
      <c r="AQ59" s="3" t="str">
        <f>'St of Act-Exp'!C59</f>
        <v>Miami</v>
      </c>
      <c r="AR59" s="3" t="b">
        <f>C59='St of Act-Exp'!C59</f>
        <v>1</v>
      </c>
    </row>
    <row r="60" spans="1:44">
      <c r="A60" s="3" t="s">
        <v>261</v>
      </c>
      <c r="C60" s="3" t="s">
        <v>195</v>
      </c>
      <c r="E60" s="12">
        <v>51458</v>
      </c>
      <c r="G60" s="3">
        <f t="shared" si="6"/>
        <v>45027037</v>
      </c>
      <c r="I60" s="3">
        <f>795737+5225374+7487941</f>
        <v>13509052</v>
      </c>
      <c r="K60" s="3">
        <v>58536089</v>
      </c>
      <c r="M60" s="3">
        <f t="shared" si="7"/>
        <v>5570726</v>
      </c>
      <c r="O60" s="3">
        <v>465695</v>
      </c>
      <c r="Q60" s="3">
        <v>5995369</v>
      </c>
      <c r="S60" s="3">
        <v>12031790</v>
      </c>
      <c r="U60" s="3">
        <v>12760598</v>
      </c>
      <c r="W60" s="3">
        <f t="shared" si="8"/>
        <v>27951404</v>
      </c>
      <c r="Y60" s="3">
        <v>5792297</v>
      </c>
      <c r="AA60" s="3">
        <v>46504299</v>
      </c>
      <c r="AC60" s="3">
        <f>+K60-S60-AA60</f>
        <v>0</v>
      </c>
      <c r="AE60" s="3">
        <f t="shared" si="5"/>
        <v>0</v>
      </c>
      <c r="AG60" s="32"/>
      <c r="AH60" s="3" t="str">
        <f t="shared" si="0"/>
        <v>Vanguard-Sentinel Career Center</v>
      </c>
      <c r="AI60" s="3" t="str">
        <f>'St of Act-Rev'!A60</f>
        <v>Vanguard-Sentinel Career Center</v>
      </c>
      <c r="AJ60" s="3" t="b">
        <f t="shared" si="1"/>
        <v>1</v>
      </c>
      <c r="AK60" s="3" t="str">
        <f>'St of Act-Exp'!A60</f>
        <v>Vanguard-Sentinel Career Center</v>
      </c>
      <c r="AL60" s="3" t="b">
        <f t="shared" si="2"/>
        <v>1</v>
      </c>
      <c r="AN60" s="3" t="str">
        <f t="shared" si="3"/>
        <v>Sandusky</v>
      </c>
      <c r="AO60" s="3" t="str">
        <f>'St of Act-Rev'!C60</f>
        <v>Sandusky</v>
      </c>
      <c r="AP60" s="3" t="b">
        <f>C60='St of Act-Rev'!C60</f>
        <v>1</v>
      </c>
      <c r="AQ60" s="3" t="str">
        <f>'St of Act-Exp'!C60</f>
        <v>Sandusky</v>
      </c>
      <c r="AR60" s="3" t="b">
        <f>C60='St of Act-Exp'!C60</f>
        <v>1</v>
      </c>
    </row>
    <row r="61" spans="1:44">
      <c r="A61" s="3" t="s">
        <v>262</v>
      </c>
      <c r="C61" s="3" t="s">
        <v>204</v>
      </c>
      <c r="E61" s="12">
        <v>51672</v>
      </c>
      <c r="G61" s="3">
        <f t="shared" si="6"/>
        <v>45328196</v>
      </c>
      <c r="I61" s="3">
        <v>8151041</v>
      </c>
      <c r="K61" s="3">
        <v>53479237</v>
      </c>
      <c r="M61" s="3">
        <f t="shared" si="7"/>
        <v>6695552</v>
      </c>
      <c r="O61" s="3">
        <v>579399</v>
      </c>
      <c r="Q61" s="3">
        <v>17675836</v>
      </c>
      <c r="S61" s="3">
        <v>24950787</v>
      </c>
      <c r="U61" s="3">
        <v>5432499</v>
      </c>
      <c r="W61" s="3">
        <f t="shared" si="8"/>
        <v>20281997</v>
      </c>
      <c r="Y61" s="3">
        <v>2813954</v>
      </c>
      <c r="AA61" s="3">
        <v>28528450</v>
      </c>
      <c r="AC61" s="3">
        <f t="shared" si="4"/>
        <v>0</v>
      </c>
      <c r="AE61" s="3">
        <f t="shared" si="5"/>
        <v>0</v>
      </c>
      <c r="AH61" s="3" t="str">
        <f t="shared" si="0"/>
        <v>Vantage Career Center</v>
      </c>
      <c r="AI61" s="3" t="str">
        <f>'St of Act-Rev'!A61</f>
        <v>Vantage Career Center</v>
      </c>
      <c r="AJ61" s="3" t="b">
        <f t="shared" si="1"/>
        <v>1</v>
      </c>
      <c r="AK61" s="3" t="str">
        <f>'St of Act-Exp'!A61</f>
        <v>Vantage Career Center</v>
      </c>
      <c r="AL61" s="3" t="b">
        <f t="shared" si="2"/>
        <v>1</v>
      </c>
      <c r="AN61" s="3" t="str">
        <f t="shared" si="3"/>
        <v>Van Wert</v>
      </c>
      <c r="AO61" s="3" t="str">
        <f>'St of Act-Rev'!C61</f>
        <v>Van Wert</v>
      </c>
      <c r="AP61" s="3" t="b">
        <f>C61='St of Act-Rev'!C61</f>
        <v>1</v>
      </c>
      <c r="AQ61" s="3" t="str">
        <f>'St of Act-Exp'!C61</f>
        <v>Van Wert</v>
      </c>
      <c r="AR61" s="3" t="b">
        <f>C61='St of Act-Exp'!C61</f>
        <v>1</v>
      </c>
    </row>
    <row r="62" spans="1:44">
      <c r="A62" s="3" t="s">
        <v>228</v>
      </c>
      <c r="C62" s="3" t="s">
        <v>205</v>
      </c>
      <c r="E62" s="12">
        <v>51474</v>
      </c>
      <c r="G62" s="3">
        <f t="shared" si="6"/>
        <v>23717572</v>
      </c>
      <c r="I62" s="3">
        <f>456000+10870767</f>
        <v>11326767</v>
      </c>
      <c r="K62" s="3">
        <v>35044339</v>
      </c>
      <c r="M62" s="3">
        <f t="shared" si="7"/>
        <v>9082295</v>
      </c>
      <c r="O62" s="3">
        <v>757440</v>
      </c>
      <c r="Q62" s="3">
        <v>6947158</v>
      </c>
      <c r="S62" s="3">
        <v>16786893</v>
      </c>
      <c r="U62" s="3">
        <v>4081574</v>
      </c>
      <c r="W62" s="3">
        <f t="shared" si="8"/>
        <v>1257662</v>
      </c>
      <c r="Y62" s="3">
        <v>12918210</v>
      </c>
      <c r="AA62" s="3">
        <v>18257446</v>
      </c>
      <c r="AC62" s="3">
        <f t="shared" si="4"/>
        <v>0</v>
      </c>
      <c r="AE62" s="3">
        <f t="shared" si="5"/>
        <v>0</v>
      </c>
      <c r="AH62" s="3" t="str">
        <f t="shared" si="0"/>
        <v>Warren County JVSD</v>
      </c>
      <c r="AI62" s="3" t="str">
        <f>'St of Act-Rev'!A62</f>
        <v>Warren County JVSD</v>
      </c>
      <c r="AJ62" s="3" t="b">
        <f t="shared" si="1"/>
        <v>1</v>
      </c>
      <c r="AK62" s="3" t="str">
        <f>'St of Act-Exp'!A62</f>
        <v>Warren County JVSD</v>
      </c>
      <c r="AL62" s="3" t="b">
        <f t="shared" si="2"/>
        <v>1</v>
      </c>
      <c r="AN62" s="3" t="str">
        <f t="shared" si="3"/>
        <v>Warren</v>
      </c>
      <c r="AO62" s="3" t="str">
        <f>'St of Act-Rev'!C62</f>
        <v>Warren</v>
      </c>
      <c r="AP62" s="3" t="b">
        <f>C62='St of Act-Rev'!C62</f>
        <v>1</v>
      </c>
      <c r="AQ62" s="3" t="str">
        <f>'St of Act-Exp'!C62</f>
        <v>Warren</v>
      </c>
      <c r="AR62" s="3" t="b">
        <f>C62='St of Act-Exp'!C62</f>
        <v>1</v>
      </c>
    </row>
    <row r="63" spans="1:44">
      <c r="A63" s="3" t="s">
        <v>276</v>
      </c>
      <c r="C63" s="3" t="s">
        <v>206</v>
      </c>
      <c r="E63" s="12">
        <v>51698</v>
      </c>
      <c r="G63" s="3">
        <f t="shared" si="6"/>
        <v>5937291</v>
      </c>
      <c r="I63" s="3">
        <f>48000+7419764</f>
        <v>7467764</v>
      </c>
      <c r="K63" s="3">
        <v>13405055</v>
      </c>
      <c r="M63" s="3">
        <f t="shared" si="7"/>
        <v>2566755</v>
      </c>
      <c r="O63" s="3">
        <v>111335</v>
      </c>
      <c r="Q63" s="3">
        <v>2840923</v>
      </c>
      <c r="S63" s="3">
        <v>5519013</v>
      </c>
      <c r="U63" s="3">
        <v>5015039</v>
      </c>
      <c r="W63" s="3">
        <f t="shared" si="8"/>
        <v>317719</v>
      </c>
      <c r="Y63" s="3">
        <v>2553284</v>
      </c>
      <c r="AA63" s="3">
        <v>7886042</v>
      </c>
      <c r="AC63" s="3">
        <f>+K63-S63-AA63</f>
        <v>0</v>
      </c>
      <c r="AE63" s="3">
        <f t="shared" si="5"/>
        <v>0</v>
      </c>
      <c r="AH63" s="3" t="str">
        <f t="shared" si="0"/>
        <v>Washington County Career Center</v>
      </c>
      <c r="AI63" s="3" t="str">
        <f>'St of Act-Rev'!A63</f>
        <v>Washington County Career Center</v>
      </c>
      <c r="AJ63" s="3" t="b">
        <f t="shared" si="1"/>
        <v>1</v>
      </c>
      <c r="AK63" s="3" t="str">
        <f>'St of Act-Exp'!A63</f>
        <v>Washington County Career Center</v>
      </c>
      <c r="AL63" s="3" t="b">
        <f t="shared" si="2"/>
        <v>1</v>
      </c>
      <c r="AN63" s="3" t="str">
        <f t="shared" si="3"/>
        <v>Washington</v>
      </c>
      <c r="AO63" s="3" t="str">
        <f>'St of Act-Rev'!C63</f>
        <v>Washington</v>
      </c>
      <c r="AP63" s="3" t="b">
        <f>C63='St of Act-Rev'!C63</f>
        <v>1</v>
      </c>
      <c r="AQ63" s="3" t="str">
        <f>'St of Act-Exp'!C63</f>
        <v>Washington</v>
      </c>
      <c r="AR63" s="3" t="b">
        <f>C63='St of Act-Exp'!C63</f>
        <v>1</v>
      </c>
    </row>
    <row r="64" spans="1:44">
      <c r="A64" s="3" t="s">
        <v>263</v>
      </c>
      <c r="C64" s="3" t="s">
        <v>208</v>
      </c>
      <c r="E64" s="12">
        <v>51714</v>
      </c>
      <c r="G64" s="3">
        <f t="shared" si="6"/>
        <v>20498734</v>
      </c>
      <c r="I64" s="3">
        <f>25473193+3155468</f>
        <v>28628661</v>
      </c>
      <c r="K64" s="3">
        <v>49127395</v>
      </c>
      <c r="M64" s="3">
        <f t="shared" si="7"/>
        <v>6904936</v>
      </c>
      <c r="O64" s="3">
        <v>1003788</v>
      </c>
      <c r="Q64" s="3">
        <v>7129853</v>
      </c>
      <c r="S64" s="3">
        <v>15038577</v>
      </c>
      <c r="U64" s="3">
        <v>22644068</v>
      </c>
      <c r="W64" s="3">
        <f t="shared" si="8"/>
        <v>6352951</v>
      </c>
      <c r="Y64" s="3">
        <v>5091799</v>
      </c>
      <c r="AA64" s="3">
        <v>34088818</v>
      </c>
      <c r="AC64" s="3">
        <f t="shared" si="4"/>
        <v>0</v>
      </c>
      <c r="AE64" s="3">
        <f t="shared" si="5"/>
        <v>0</v>
      </c>
      <c r="AG64" s="32"/>
      <c r="AH64" s="3" t="str">
        <f t="shared" si="0"/>
        <v>Wayne County JVSD</v>
      </c>
      <c r="AI64" s="3" t="str">
        <f>'St of Act-Rev'!A64</f>
        <v>Wayne County JVSD</v>
      </c>
      <c r="AJ64" s="3" t="b">
        <f t="shared" si="1"/>
        <v>1</v>
      </c>
      <c r="AK64" s="3" t="str">
        <f>'St of Act-Exp'!A64</f>
        <v>Wayne County JVSD</v>
      </c>
      <c r="AL64" s="3" t="b">
        <f t="shared" si="2"/>
        <v>1</v>
      </c>
      <c r="AN64" s="3" t="str">
        <f t="shared" si="3"/>
        <v>Wayne</v>
      </c>
      <c r="AO64" s="3" t="str">
        <f>'St of Act-Rev'!C64</f>
        <v>Wayne</v>
      </c>
      <c r="AP64" s="3" t="b">
        <f>C64='St of Act-Rev'!C64</f>
        <v>1</v>
      </c>
      <c r="AQ64" s="3" t="str">
        <f>'St of Act-Exp'!C64</f>
        <v>Wayne</v>
      </c>
      <c r="AR64" s="3" t="b">
        <f>C64='St of Act-Exp'!C64</f>
        <v>1</v>
      </c>
    </row>
    <row r="66" spans="1:44">
      <c r="AA66" s="17" t="s">
        <v>266</v>
      </c>
    </row>
    <row r="67" spans="1:44">
      <c r="A67" s="13" t="s">
        <v>265</v>
      </c>
    </row>
    <row r="68" spans="1:44">
      <c r="A68" s="13"/>
    </row>
    <row r="69" spans="1:44" s="65" customFormat="1" hidden="1">
      <c r="A69" s="65" t="s">
        <v>414</v>
      </c>
      <c r="C69" s="65" t="s">
        <v>272</v>
      </c>
      <c r="E69" s="76">
        <v>45849</v>
      </c>
      <c r="G69" s="65">
        <f t="shared" ref="G69:G74" si="11">+K69-I69</f>
        <v>0</v>
      </c>
      <c r="M69" s="65">
        <f t="shared" si="7"/>
        <v>0</v>
      </c>
      <c r="W69" s="65">
        <f t="shared" si="8"/>
        <v>0</v>
      </c>
      <c r="AC69" s="65">
        <f t="shared" ref="AC69:AC74" si="12">+K69-S69-AA69</f>
        <v>0</v>
      </c>
      <c r="AE69" s="65">
        <f t="shared" ref="AE69:AE74" si="13">+G69+I69-M69-O69-U69-W69-Y69-Q69</f>
        <v>0</v>
      </c>
      <c r="AG69" s="66" t="s">
        <v>413</v>
      </c>
      <c r="AH69" s="65" t="str">
        <f t="shared" si="0"/>
        <v>Allen County Educ Srv Ctr (CASH)</v>
      </c>
      <c r="AI69" s="65" t="str">
        <f>'St of Act-Rev'!A69</f>
        <v>Allen County Educ Srv Ctr (CASH)</v>
      </c>
      <c r="AJ69" s="65" t="b">
        <f t="shared" si="1"/>
        <v>1</v>
      </c>
      <c r="AK69" s="65" t="str">
        <f>'St of Act-Exp'!A69</f>
        <v>Allen County Educ Srv Ctr (CASH)</v>
      </c>
      <c r="AL69" s="65" t="b">
        <f t="shared" si="2"/>
        <v>1</v>
      </c>
      <c r="AN69" s="65" t="str">
        <f t="shared" si="3"/>
        <v>Allen</v>
      </c>
      <c r="AO69" s="65" t="str">
        <f>'St of Act-Rev'!C69</f>
        <v>Allen</v>
      </c>
      <c r="AP69" s="65" t="b">
        <f>C69='St of Act-Rev'!C69</f>
        <v>1</v>
      </c>
      <c r="AQ69" s="65" t="str">
        <f>'St of Act-Exp'!C69</f>
        <v>Allen</v>
      </c>
      <c r="AR69" s="65" t="b">
        <f>C69='St of Act-Exp'!C69</f>
        <v>1</v>
      </c>
    </row>
    <row r="70" spans="1:44" s="65" customFormat="1" hidden="1">
      <c r="A70" s="65" t="s">
        <v>415</v>
      </c>
      <c r="C70" s="65" t="s">
        <v>147</v>
      </c>
      <c r="E70" s="76"/>
      <c r="G70" s="65">
        <f t="shared" si="11"/>
        <v>0</v>
      </c>
      <c r="M70" s="65">
        <f>+S70-O70-Q70</f>
        <v>0</v>
      </c>
      <c r="W70" s="65">
        <f t="shared" si="8"/>
        <v>0</v>
      </c>
      <c r="AC70" s="65">
        <f t="shared" si="12"/>
        <v>0</v>
      </c>
      <c r="AE70" s="65">
        <f t="shared" si="13"/>
        <v>0</v>
      </c>
      <c r="AG70" s="66" t="s">
        <v>377</v>
      </c>
      <c r="AH70" s="65" t="str">
        <f t="shared" si="0"/>
        <v>Ashtabula County Educ Srv Ctr (CASH)</v>
      </c>
      <c r="AI70" s="65" t="str">
        <f>'St of Act-Rev'!A70</f>
        <v>Ashtabula County Educ Srv Ctr (CASH)</v>
      </c>
      <c r="AJ70" s="65" t="b">
        <f t="shared" si="1"/>
        <v>1</v>
      </c>
      <c r="AK70" s="65" t="str">
        <f>'St of Act-Exp'!A70</f>
        <v>Ashtabula County Educ Srv Ctr (CASH)</v>
      </c>
      <c r="AL70" s="65" t="b">
        <f t="shared" si="2"/>
        <v>1</v>
      </c>
      <c r="AN70" s="65" t="str">
        <f t="shared" si="3"/>
        <v>Ashtabula</v>
      </c>
      <c r="AO70" s="65" t="str">
        <f>'St of Act-Rev'!C70</f>
        <v>Ashtabula</v>
      </c>
      <c r="AP70" s="65" t="b">
        <f>C70='St of Act-Rev'!C70</f>
        <v>1</v>
      </c>
      <c r="AQ70" s="65" t="str">
        <f>'St of Act-Exp'!C70</f>
        <v>Ashtabula</v>
      </c>
      <c r="AR70" s="65" t="b">
        <f>C70='St of Act-Exp'!C70</f>
        <v>1</v>
      </c>
    </row>
    <row r="71" spans="1:44">
      <c r="A71" s="3" t="s">
        <v>151</v>
      </c>
      <c r="C71" s="3" t="s">
        <v>148</v>
      </c>
      <c r="E71" s="12">
        <v>135145</v>
      </c>
      <c r="G71" s="20">
        <f t="shared" si="11"/>
        <v>1386235</v>
      </c>
      <c r="H71" s="20"/>
      <c r="I71" s="20">
        <f>8230+2559200</f>
        <v>2567430</v>
      </c>
      <c r="J71" s="20"/>
      <c r="K71" s="20">
        <v>3953665</v>
      </c>
      <c r="L71" s="20"/>
      <c r="M71" s="20">
        <f t="shared" si="7"/>
        <v>776298</v>
      </c>
      <c r="N71" s="20"/>
      <c r="O71" s="20">
        <v>19475</v>
      </c>
      <c r="P71" s="20"/>
      <c r="Q71" s="20">
        <v>123338</v>
      </c>
      <c r="R71" s="20"/>
      <c r="S71" s="20">
        <v>919111</v>
      </c>
      <c r="T71" s="20"/>
      <c r="U71" s="20">
        <v>2567430</v>
      </c>
      <c r="V71" s="20"/>
      <c r="W71" s="20">
        <f t="shared" si="8"/>
        <v>544898</v>
      </c>
      <c r="X71" s="20"/>
      <c r="Y71" s="20">
        <v>-77774</v>
      </c>
      <c r="Z71" s="20"/>
      <c r="AA71" s="20">
        <v>3034554</v>
      </c>
      <c r="AC71" s="3">
        <f t="shared" si="12"/>
        <v>0</v>
      </c>
      <c r="AE71" s="3">
        <f t="shared" si="13"/>
        <v>0</v>
      </c>
      <c r="AG71" s="16"/>
      <c r="AH71" s="3" t="str">
        <f t="shared" si="0"/>
        <v>Athens-Meigs Educ Srv Ctr</v>
      </c>
      <c r="AI71" s="3" t="str">
        <f>'St of Act-Rev'!A71</f>
        <v>Athens-Meigs Educ Srv Ctr</v>
      </c>
      <c r="AJ71" s="3" t="b">
        <f t="shared" si="1"/>
        <v>1</v>
      </c>
      <c r="AK71" s="3" t="str">
        <f>'St of Act-Exp'!A71</f>
        <v>Athens-Meigs Educ Srv Ctr</v>
      </c>
      <c r="AL71" s="3" t="b">
        <f t="shared" si="2"/>
        <v>1</v>
      </c>
      <c r="AN71" s="3" t="str">
        <f t="shared" si="3"/>
        <v>Athens</v>
      </c>
      <c r="AO71" s="3" t="str">
        <f>'St of Act-Rev'!C71</f>
        <v>Athens</v>
      </c>
      <c r="AP71" s="3" t="b">
        <f>C71='St of Act-Rev'!C71</f>
        <v>1</v>
      </c>
      <c r="AQ71" s="3" t="str">
        <f>'St of Act-Exp'!C71</f>
        <v>Athens</v>
      </c>
      <c r="AR71" s="3" t="b">
        <f>C71='St of Act-Exp'!C71</f>
        <v>1</v>
      </c>
    </row>
    <row r="72" spans="1:44" s="65" customFormat="1" hidden="1">
      <c r="A72" s="65" t="s">
        <v>416</v>
      </c>
      <c r="C72" s="65" t="s">
        <v>273</v>
      </c>
      <c r="E72" s="76"/>
      <c r="G72" s="65">
        <f t="shared" si="11"/>
        <v>0</v>
      </c>
      <c r="M72" s="65">
        <f>+S72-O72-Q72</f>
        <v>0</v>
      </c>
      <c r="W72" s="65">
        <f t="shared" si="8"/>
        <v>0</v>
      </c>
      <c r="AC72" s="65">
        <f t="shared" si="12"/>
        <v>0</v>
      </c>
      <c r="AE72" s="65">
        <f t="shared" si="13"/>
        <v>0</v>
      </c>
      <c r="AG72" s="66" t="s">
        <v>404</v>
      </c>
      <c r="AH72" s="65" t="str">
        <f t="shared" si="0"/>
        <v>Auglaize County Educ Srv Ctr (CASH)</v>
      </c>
      <c r="AI72" s="65" t="str">
        <f>'St of Act-Rev'!A72</f>
        <v>Auglaize County Educ Srv Ctr (CASH)</v>
      </c>
      <c r="AJ72" s="65" t="b">
        <f t="shared" si="1"/>
        <v>1</v>
      </c>
      <c r="AK72" s="65" t="str">
        <f>'St of Act-Exp'!A72</f>
        <v>Auglaize County Educ Srv Ctr (CASH)</v>
      </c>
      <c r="AL72" s="65" t="b">
        <f t="shared" si="2"/>
        <v>1</v>
      </c>
      <c r="AN72" s="65" t="str">
        <f t="shared" si="3"/>
        <v>Auglaize</v>
      </c>
      <c r="AO72" s="65" t="str">
        <f>'St of Act-Rev'!C72</f>
        <v>Auglaize</v>
      </c>
      <c r="AP72" s="65" t="b">
        <f>C72='St of Act-Rev'!C72</f>
        <v>1</v>
      </c>
      <c r="AQ72" s="65" t="str">
        <f>'St of Act-Exp'!C72</f>
        <v>Auglaize</v>
      </c>
      <c r="AR72" s="65" t="b">
        <f>C72='St of Act-Exp'!C72</f>
        <v>1</v>
      </c>
    </row>
    <row r="73" spans="1:44">
      <c r="A73" s="16" t="s">
        <v>322</v>
      </c>
      <c r="C73" s="3" t="s">
        <v>153</v>
      </c>
      <c r="E73" s="12">
        <v>46029</v>
      </c>
      <c r="G73" s="3">
        <f t="shared" si="11"/>
        <v>2280645</v>
      </c>
      <c r="I73" s="3">
        <v>36433</v>
      </c>
      <c r="K73" s="3">
        <v>2317078</v>
      </c>
      <c r="M73" s="3">
        <f t="shared" si="7"/>
        <v>490313</v>
      </c>
      <c r="O73" s="3">
        <v>36167</v>
      </c>
      <c r="Q73" s="3">
        <f>207774-36167</f>
        <v>171607</v>
      </c>
      <c r="S73" s="3">
        <v>698087</v>
      </c>
      <c r="U73" s="3">
        <v>36433</v>
      </c>
      <c r="W73" s="3">
        <f t="shared" si="8"/>
        <v>8043</v>
      </c>
      <c r="Y73" s="3">
        <v>1574515</v>
      </c>
      <c r="AA73" s="3">
        <v>1618991</v>
      </c>
      <c r="AC73" s="3">
        <f t="shared" si="12"/>
        <v>0</v>
      </c>
      <c r="AE73" s="3">
        <f t="shared" si="13"/>
        <v>0</v>
      </c>
      <c r="AG73" s="3" t="s">
        <v>405</v>
      </c>
      <c r="AH73" s="3" t="str">
        <f t="shared" si="0"/>
        <v>Brown County Educ Srv Ctr</v>
      </c>
      <c r="AI73" s="3" t="str">
        <f>'St of Act-Rev'!A73</f>
        <v>Brown County Educ Srv Ctr</v>
      </c>
      <c r="AJ73" s="3" t="b">
        <f t="shared" si="1"/>
        <v>1</v>
      </c>
      <c r="AK73" s="3" t="str">
        <f>'St of Act-Exp'!A73</f>
        <v>Brown County Educ Srv Ctr</v>
      </c>
      <c r="AL73" s="3" t="b">
        <f t="shared" si="2"/>
        <v>1</v>
      </c>
      <c r="AN73" s="3" t="str">
        <f t="shared" si="3"/>
        <v>Brown</v>
      </c>
      <c r="AO73" s="3" t="str">
        <f>'St of Act-Rev'!C73</f>
        <v>Brown</v>
      </c>
      <c r="AP73" s="3" t="b">
        <f>C73='St of Act-Rev'!C73</f>
        <v>1</v>
      </c>
      <c r="AQ73" s="3" t="str">
        <f>'St of Act-Exp'!C73</f>
        <v>Brown</v>
      </c>
      <c r="AR73" s="3" t="b">
        <f>C73='St of Act-Exp'!C73</f>
        <v>1</v>
      </c>
    </row>
    <row r="74" spans="1:44">
      <c r="A74" s="16" t="s">
        <v>323</v>
      </c>
      <c r="C74" s="3" t="s">
        <v>150</v>
      </c>
      <c r="E74" s="12">
        <v>46086</v>
      </c>
      <c r="G74" s="3">
        <f t="shared" si="11"/>
        <v>4520022</v>
      </c>
      <c r="I74" s="3">
        <f>477184+2750077</f>
        <v>3227261</v>
      </c>
      <c r="K74" s="3">
        <v>7747283</v>
      </c>
      <c r="M74" s="3">
        <f t="shared" si="7"/>
        <v>1098986</v>
      </c>
      <c r="O74" s="3">
        <v>167696</v>
      </c>
      <c r="Q74" s="3">
        <v>3077835</v>
      </c>
      <c r="S74" s="3">
        <v>4344517</v>
      </c>
      <c r="U74" s="3">
        <v>360261</v>
      </c>
      <c r="W74" s="3">
        <f t="shared" si="8"/>
        <v>2748985</v>
      </c>
      <c r="Y74" s="3">
        <v>293520</v>
      </c>
      <c r="AA74" s="3">
        <v>3402766</v>
      </c>
      <c r="AC74" s="3">
        <f t="shared" si="12"/>
        <v>0</v>
      </c>
      <c r="AE74" s="3">
        <f t="shared" si="13"/>
        <v>0</v>
      </c>
      <c r="AH74" s="3" t="str">
        <f t="shared" si="0"/>
        <v>Butler County Educ Srv Ctr</v>
      </c>
      <c r="AI74" s="3" t="str">
        <f>'St of Act-Rev'!A74</f>
        <v>Butler County Educ Srv Ctr</v>
      </c>
      <c r="AJ74" s="3" t="b">
        <f t="shared" si="1"/>
        <v>1</v>
      </c>
      <c r="AK74" s="3" t="str">
        <f>'St of Act-Exp'!A74</f>
        <v>Butler County Educ Srv Ctr</v>
      </c>
      <c r="AL74" s="3" t="b">
        <f t="shared" si="2"/>
        <v>1</v>
      </c>
      <c r="AN74" s="3" t="str">
        <f t="shared" si="3"/>
        <v>Butler</v>
      </c>
      <c r="AO74" s="3" t="str">
        <f>'St of Act-Rev'!C74</f>
        <v>Butler</v>
      </c>
      <c r="AP74" s="3" t="b">
        <f>C74='St of Act-Rev'!C74</f>
        <v>1</v>
      </c>
      <c r="AQ74" s="3" t="str">
        <f>'St of Act-Exp'!C74</f>
        <v>Butler</v>
      </c>
      <c r="AR74" s="3" t="b">
        <f>C74='St of Act-Exp'!C74</f>
        <v>1</v>
      </c>
    </row>
    <row r="75" spans="1:44">
      <c r="A75" s="16" t="s">
        <v>324</v>
      </c>
      <c r="C75" s="3" t="s">
        <v>155</v>
      </c>
      <c r="E75" s="12">
        <v>46227</v>
      </c>
      <c r="G75" s="3">
        <f t="shared" si="6"/>
        <v>2432783</v>
      </c>
      <c r="I75" s="3">
        <v>453330</v>
      </c>
      <c r="K75" s="3">
        <v>2886113</v>
      </c>
      <c r="M75" s="3">
        <f t="shared" si="7"/>
        <v>713128</v>
      </c>
      <c r="O75" s="3">
        <v>90030</v>
      </c>
      <c r="Q75" s="3">
        <v>254821</v>
      </c>
      <c r="S75" s="3">
        <v>1057979</v>
      </c>
      <c r="U75" s="3">
        <v>277555</v>
      </c>
      <c r="W75" s="3">
        <f t="shared" si="8"/>
        <v>603861</v>
      </c>
      <c r="Y75" s="3">
        <v>946718</v>
      </c>
      <c r="AA75" s="3">
        <v>1828134</v>
      </c>
      <c r="AC75" s="3">
        <f t="shared" ref="AC75:AC130" si="14">+K75-S75-AA75</f>
        <v>0</v>
      </c>
      <c r="AE75" s="3">
        <f t="shared" ref="AE75:AE117" si="15">+G75+I75-M75-O75-U75-W75-Y75-Q75</f>
        <v>0</v>
      </c>
      <c r="AH75" s="3" t="str">
        <f t="shared" si="0"/>
        <v>Clark County Educ Srv Ctr</v>
      </c>
      <c r="AI75" s="3" t="str">
        <f>'St of Act-Rev'!A75</f>
        <v>Clark County Educ Srv Ctr</v>
      </c>
      <c r="AJ75" s="3" t="b">
        <f t="shared" si="1"/>
        <v>1</v>
      </c>
      <c r="AK75" s="3" t="str">
        <f>'St of Act-Exp'!A75</f>
        <v>Clark County Educ Srv Ctr</v>
      </c>
      <c r="AL75" s="3" t="b">
        <f t="shared" si="2"/>
        <v>1</v>
      </c>
      <c r="AN75" s="3" t="str">
        <f t="shared" si="3"/>
        <v>Clark</v>
      </c>
      <c r="AO75" s="3" t="str">
        <f>'St of Act-Rev'!C75</f>
        <v>Clark</v>
      </c>
      <c r="AP75" s="3" t="b">
        <f>C75='St of Act-Rev'!C75</f>
        <v>1</v>
      </c>
      <c r="AQ75" s="3" t="str">
        <f>'St of Act-Exp'!C75</f>
        <v>Clark</v>
      </c>
      <c r="AR75" s="3" t="b">
        <f>C75='St of Act-Exp'!C75</f>
        <v>1</v>
      </c>
    </row>
    <row r="76" spans="1:44">
      <c r="A76" s="3" t="s">
        <v>156</v>
      </c>
      <c r="C76" s="3" t="s">
        <v>157</v>
      </c>
      <c r="E76" s="12">
        <v>46292</v>
      </c>
      <c r="G76" s="3">
        <f t="shared" si="6"/>
        <v>6968678</v>
      </c>
      <c r="I76" s="3">
        <v>127431</v>
      </c>
      <c r="K76" s="3">
        <v>7096109</v>
      </c>
      <c r="M76" s="3">
        <f t="shared" si="7"/>
        <v>2381355</v>
      </c>
      <c r="O76" s="3">
        <v>40080</v>
      </c>
      <c r="Q76" s="3">
        <v>482898</v>
      </c>
      <c r="S76" s="3">
        <v>2904333</v>
      </c>
      <c r="U76" s="3">
        <v>127431</v>
      </c>
      <c r="W76" s="3">
        <f t="shared" si="8"/>
        <v>6407</v>
      </c>
      <c r="Y76" s="3">
        <v>4057938</v>
      </c>
      <c r="AA76" s="3">
        <v>4191776</v>
      </c>
      <c r="AC76" s="3">
        <f>+K76-S76-AA76</f>
        <v>0</v>
      </c>
      <c r="AE76" s="3">
        <f>+G76+I76-M76-O76-U76-W76-Y76-Q76</f>
        <v>0</v>
      </c>
      <c r="AG76" s="3" t="s">
        <v>425</v>
      </c>
      <c r="AH76" s="3" t="str">
        <f t="shared" si="0"/>
        <v>Clermont County Educ Srv Ctr</v>
      </c>
      <c r="AI76" s="3" t="str">
        <f>'St of Act-Rev'!A76</f>
        <v>Clermont County Educ Srv Ctr</v>
      </c>
      <c r="AJ76" s="3" t="b">
        <f t="shared" si="1"/>
        <v>1</v>
      </c>
      <c r="AK76" s="3" t="str">
        <f>'St of Act-Exp'!A76</f>
        <v>Clermont County Educ Srv Ctr</v>
      </c>
      <c r="AL76" s="3" t="b">
        <f t="shared" si="2"/>
        <v>1</v>
      </c>
      <c r="AN76" s="3" t="str">
        <f t="shared" si="3"/>
        <v>Clermont</v>
      </c>
      <c r="AO76" s="3" t="str">
        <f>'St of Act-Rev'!C76</f>
        <v>Clermont</v>
      </c>
      <c r="AP76" s="3" t="b">
        <f>C76='St of Act-Rev'!C76</f>
        <v>1</v>
      </c>
      <c r="AQ76" s="3" t="str">
        <f>'St of Act-Exp'!C76</f>
        <v>Clermont</v>
      </c>
      <c r="AR76" s="3" t="b">
        <f>C76='St of Act-Exp'!C76</f>
        <v>1</v>
      </c>
    </row>
    <row r="77" spans="1:44" s="65" customFormat="1" hidden="1">
      <c r="A77" s="66" t="s">
        <v>294</v>
      </c>
      <c r="C77" s="65" t="s">
        <v>158</v>
      </c>
      <c r="E77" s="76">
        <v>46375</v>
      </c>
      <c r="G77" s="65">
        <f t="shared" si="6"/>
        <v>0</v>
      </c>
      <c r="M77" s="65">
        <f t="shared" si="7"/>
        <v>0</v>
      </c>
      <c r="W77" s="65">
        <f t="shared" si="8"/>
        <v>0</v>
      </c>
      <c r="AC77" s="65">
        <f t="shared" si="14"/>
        <v>0</v>
      </c>
      <c r="AE77" s="65">
        <f t="shared" si="15"/>
        <v>0</v>
      </c>
      <c r="AG77" s="66" t="s">
        <v>314</v>
      </c>
      <c r="AH77" s="65" t="str">
        <f t="shared" si="0"/>
        <v>Clinton Fayette Highland Educ-now Southern Ohio ESC</v>
      </c>
      <c r="AI77" s="65" t="str">
        <f>'St of Act-Rev'!A77</f>
        <v>Clinton Fayette Highland Educ-now Southern Ohio ESC</v>
      </c>
      <c r="AJ77" s="65" t="b">
        <f t="shared" si="1"/>
        <v>1</v>
      </c>
      <c r="AK77" s="65" t="str">
        <f>'St of Act-Exp'!A77</f>
        <v>Clinton Fayette Highland Educ-now Southern Ohio ESC</v>
      </c>
      <c r="AL77" s="65" t="b">
        <f t="shared" si="2"/>
        <v>1</v>
      </c>
      <c r="AN77" s="65" t="str">
        <f t="shared" si="3"/>
        <v>Clinton</v>
      </c>
      <c r="AO77" s="65" t="str">
        <f>'St of Act-Rev'!C77</f>
        <v>Clinton</v>
      </c>
      <c r="AP77" s="65" t="b">
        <f>C77='St of Act-Rev'!C77</f>
        <v>1</v>
      </c>
      <c r="AQ77" s="65" t="str">
        <f>'St of Act-Exp'!C77</f>
        <v>Clinton</v>
      </c>
      <c r="AR77" s="65" t="b">
        <f>C77='St of Act-Exp'!C77</f>
        <v>1</v>
      </c>
    </row>
    <row r="78" spans="1:44">
      <c r="A78" s="16" t="s">
        <v>345</v>
      </c>
      <c r="C78" s="3" t="s">
        <v>159</v>
      </c>
      <c r="E78" s="12">
        <v>46417</v>
      </c>
      <c r="G78" s="3">
        <f t="shared" si="6"/>
        <v>1849586</v>
      </c>
      <c r="I78" s="3">
        <v>713932</v>
      </c>
      <c r="K78" s="3">
        <v>2563518</v>
      </c>
      <c r="M78" s="3">
        <f t="shared" si="7"/>
        <v>1071332</v>
      </c>
      <c r="O78" s="3">
        <v>198921</v>
      </c>
      <c r="Q78" s="3">
        <v>872630</v>
      </c>
      <c r="S78" s="3">
        <v>2142883</v>
      </c>
      <c r="U78" s="3">
        <v>184213</v>
      </c>
      <c r="W78" s="3">
        <f t="shared" si="8"/>
        <v>12013</v>
      </c>
      <c r="Y78" s="3">
        <v>224409</v>
      </c>
      <c r="AA78" s="3">
        <v>420635</v>
      </c>
      <c r="AC78" s="3">
        <f t="shared" si="14"/>
        <v>0</v>
      </c>
      <c r="AE78" s="3">
        <f t="shared" si="15"/>
        <v>0</v>
      </c>
      <c r="AH78" s="3" t="str">
        <f t="shared" si="0"/>
        <v>Columbiana County Educ Srv Ctr</v>
      </c>
      <c r="AI78" s="3" t="str">
        <f>'St of Act-Rev'!A78</f>
        <v>Columbiana County Educ Srv Ctr</v>
      </c>
      <c r="AJ78" s="3" t="b">
        <f t="shared" si="1"/>
        <v>1</v>
      </c>
      <c r="AK78" s="3" t="str">
        <f>'St of Act-Exp'!A78</f>
        <v>Columbiana County Educ Srv Ctr</v>
      </c>
      <c r="AL78" s="3" t="b">
        <f t="shared" si="2"/>
        <v>1</v>
      </c>
      <c r="AN78" s="3" t="str">
        <f t="shared" si="3"/>
        <v>Columbiana</v>
      </c>
      <c r="AO78" s="3" t="str">
        <f>'St of Act-Rev'!C78</f>
        <v>Columbiana</v>
      </c>
      <c r="AP78" s="3" t="b">
        <f>C78='St of Act-Rev'!C78</f>
        <v>1</v>
      </c>
      <c r="AQ78" s="3" t="str">
        <f>'St of Act-Exp'!C78</f>
        <v>Columbiana</v>
      </c>
      <c r="AR78" s="3" t="b">
        <f>C78='St of Act-Exp'!C78</f>
        <v>1</v>
      </c>
    </row>
    <row r="79" spans="1:44">
      <c r="A79" s="3" t="s">
        <v>347</v>
      </c>
      <c r="C79" s="3" t="s">
        <v>160</v>
      </c>
      <c r="E79" s="12">
        <v>46532</v>
      </c>
      <c r="G79" s="3">
        <f t="shared" si="6"/>
        <v>29623919</v>
      </c>
      <c r="I79" s="3">
        <f>5556949+536778</f>
        <v>6093727</v>
      </c>
      <c r="K79" s="3">
        <v>35717646</v>
      </c>
      <c r="M79" s="3">
        <f t="shared" si="7"/>
        <v>6687235</v>
      </c>
      <c r="O79" s="3">
        <v>1767655</v>
      </c>
      <c r="Q79" s="3">
        <v>2064186</v>
      </c>
      <c r="S79" s="3">
        <v>10519076</v>
      </c>
      <c r="U79" s="3">
        <v>4357580</v>
      </c>
      <c r="W79" s="3">
        <f t="shared" si="8"/>
        <v>406540</v>
      </c>
      <c r="Y79" s="3">
        <v>20434450</v>
      </c>
      <c r="AA79" s="3">
        <v>25198570</v>
      </c>
      <c r="AC79" s="3">
        <f t="shared" si="14"/>
        <v>0</v>
      </c>
      <c r="AE79" s="3">
        <f t="shared" si="15"/>
        <v>0</v>
      </c>
      <c r="AG79" s="16" t="s">
        <v>315</v>
      </c>
      <c r="AH79" s="3" t="str">
        <f t="shared" si="0"/>
        <v>Cuyahoga Educ Srv Ctr-now Educ Srv Ctr of Cuyahoga County</v>
      </c>
      <c r="AI79" s="3" t="str">
        <f>'St of Act-Rev'!A79</f>
        <v>Cuyahoga Educ Srv Ctr-now Educ Srv Ctr of Cuyahoga County</v>
      </c>
      <c r="AJ79" s="3" t="b">
        <f t="shared" si="1"/>
        <v>1</v>
      </c>
      <c r="AK79" s="3" t="str">
        <f>'St of Act-Exp'!A79</f>
        <v>Cuyahoga Educ Srv Ctr-now Educ Srv Ctr of Cuyahoga County</v>
      </c>
      <c r="AL79" s="3" t="b">
        <f t="shared" ref="AL79:AL130" si="16">A79=AK79</f>
        <v>1</v>
      </c>
      <c r="AN79" s="3" t="str">
        <f t="shared" ref="AN79:AN130" si="17">C79</f>
        <v>Cuyahoga</v>
      </c>
      <c r="AO79" s="3" t="str">
        <f>'St of Act-Rev'!C79</f>
        <v>Cuyahoga</v>
      </c>
      <c r="AP79" s="3" t="b">
        <f>C79='St of Act-Rev'!C79</f>
        <v>1</v>
      </c>
      <c r="AQ79" s="3" t="str">
        <f>'St of Act-Exp'!C79</f>
        <v>Cuyahoga</v>
      </c>
      <c r="AR79" s="3" t="b">
        <f>C79='St of Act-Exp'!C79</f>
        <v>1</v>
      </c>
    </row>
    <row r="80" spans="1:44" s="65" customFormat="1" hidden="1">
      <c r="A80" s="65" t="s">
        <v>376</v>
      </c>
      <c r="C80" s="65" t="s">
        <v>161</v>
      </c>
      <c r="E80" s="76">
        <v>46615</v>
      </c>
      <c r="G80" s="65">
        <f t="shared" si="6"/>
        <v>0</v>
      </c>
      <c r="M80" s="65">
        <f t="shared" si="7"/>
        <v>0</v>
      </c>
      <c r="W80" s="65">
        <f t="shared" si="8"/>
        <v>0</v>
      </c>
      <c r="AC80" s="65">
        <f t="shared" si="14"/>
        <v>0</v>
      </c>
      <c r="AE80" s="65">
        <f t="shared" si="15"/>
        <v>0</v>
      </c>
      <c r="AG80" s="66" t="s">
        <v>377</v>
      </c>
      <c r="AH80" s="65" t="str">
        <f t="shared" ref="AH80:AH130" si="18">A80</f>
        <v>Darke County Educ Srv Ctr (CASH)</v>
      </c>
      <c r="AI80" s="65" t="str">
        <f>'St of Act-Rev'!A80</f>
        <v>Darke County Educ Srv Ctr (CASH)</v>
      </c>
      <c r="AJ80" s="65" t="b">
        <f t="shared" ref="AJ80:AJ130" si="19">AH80=AI80</f>
        <v>1</v>
      </c>
      <c r="AK80" s="65" t="str">
        <f>'St of Act-Exp'!A80</f>
        <v>Darke County Educ Srv Ctr (CASH)</v>
      </c>
      <c r="AL80" s="65" t="b">
        <f t="shared" si="16"/>
        <v>1</v>
      </c>
      <c r="AN80" s="65" t="str">
        <f t="shared" si="17"/>
        <v>Darke</v>
      </c>
      <c r="AO80" s="65" t="str">
        <f>'St of Act-Rev'!C80</f>
        <v>Darke</v>
      </c>
      <c r="AP80" s="65" t="b">
        <f>C80='St of Act-Rev'!C80</f>
        <v>1</v>
      </c>
      <c r="AQ80" s="65" t="str">
        <f>'St of Act-Exp'!C80</f>
        <v>Darke</v>
      </c>
      <c r="AR80" s="65" t="b">
        <f>C80='St of Act-Exp'!C80</f>
        <v>1</v>
      </c>
    </row>
    <row r="81" spans="1:44" s="65" customFormat="1" hidden="1">
      <c r="A81" s="65" t="s">
        <v>346</v>
      </c>
      <c r="C81" s="65" t="s">
        <v>162</v>
      </c>
      <c r="E81" s="76">
        <v>46730</v>
      </c>
      <c r="G81" s="65">
        <f t="shared" si="6"/>
        <v>0</v>
      </c>
      <c r="M81" s="65">
        <f t="shared" si="7"/>
        <v>0</v>
      </c>
      <c r="W81" s="65">
        <f t="shared" si="8"/>
        <v>0</v>
      </c>
      <c r="AC81" s="65">
        <f t="shared" si="14"/>
        <v>0</v>
      </c>
      <c r="AE81" s="65">
        <f t="shared" si="15"/>
        <v>0</v>
      </c>
      <c r="AG81" s="66" t="s">
        <v>316</v>
      </c>
      <c r="AH81" s="65" t="str">
        <f t="shared" si="18"/>
        <v>Delaware-Union Educ Srv Ctr - see note to right</v>
      </c>
      <c r="AI81" s="65" t="str">
        <f>'St of Act-Rev'!A81</f>
        <v>Delaware-Union Educ Srv Ctr - see note to right</v>
      </c>
      <c r="AJ81" s="65" t="b">
        <f t="shared" si="19"/>
        <v>1</v>
      </c>
      <c r="AK81" s="65" t="str">
        <f>'St of Act-Exp'!A81</f>
        <v>Delaware-Union Educ Srv Ctr - see note to right</v>
      </c>
      <c r="AL81" s="65" t="b">
        <f t="shared" si="16"/>
        <v>1</v>
      </c>
      <c r="AN81" s="65" t="str">
        <f t="shared" si="17"/>
        <v>Delaware</v>
      </c>
      <c r="AO81" s="65" t="str">
        <f>'St of Act-Rev'!C81</f>
        <v>Delaware</v>
      </c>
      <c r="AP81" s="65" t="b">
        <f>C81='St of Act-Rev'!C81</f>
        <v>1</v>
      </c>
      <c r="AQ81" s="65" t="str">
        <f>'St of Act-Exp'!C81</f>
        <v>Delaware</v>
      </c>
      <c r="AR81" s="65" t="b">
        <f>C81='St of Act-Exp'!C81</f>
        <v>1</v>
      </c>
    </row>
    <row r="82" spans="1:44">
      <c r="A82" s="3" t="s">
        <v>344</v>
      </c>
      <c r="C82" s="3" t="s">
        <v>202</v>
      </c>
      <c r="G82" s="3">
        <f t="shared" si="6"/>
        <v>2072232</v>
      </c>
      <c r="I82" s="3">
        <v>1693694</v>
      </c>
      <c r="K82" s="3">
        <v>3765926</v>
      </c>
      <c r="M82" s="3">
        <f t="shared" si="7"/>
        <v>869742</v>
      </c>
      <c r="O82" s="3">
        <v>148167</v>
      </c>
      <c r="Q82" s="3">
        <f>778938-148167</f>
        <v>630771</v>
      </c>
      <c r="S82" s="3">
        <v>1648680</v>
      </c>
      <c r="U82" s="3">
        <v>1171402</v>
      </c>
      <c r="W82" s="3">
        <f t="shared" si="8"/>
        <v>73397</v>
      </c>
      <c r="Y82" s="3">
        <v>872447</v>
      </c>
      <c r="AA82" s="3">
        <v>2117246</v>
      </c>
      <c r="AC82" s="3">
        <f t="shared" si="14"/>
        <v>0</v>
      </c>
      <c r="AE82" s="3">
        <f t="shared" si="15"/>
        <v>0</v>
      </c>
      <c r="AG82" s="16" t="s">
        <v>317</v>
      </c>
      <c r="AH82" s="3" t="str">
        <f t="shared" ref="AH82" si="20">A82</f>
        <v>East Central Ohio Educ Srv Ctr</v>
      </c>
      <c r="AI82" s="3" t="str">
        <f>'St of Act-Rev'!A82</f>
        <v>East Central Ohio Educ Srv Ctr</v>
      </c>
      <c r="AJ82" s="3" t="b">
        <f t="shared" ref="AJ82" si="21">AH82=AI82</f>
        <v>1</v>
      </c>
      <c r="AK82" s="3" t="str">
        <f>'St of Act-Exp'!A82</f>
        <v>East Central Ohio Educ Srv Ctr</v>
      </c>
      <c r="AL82" s="3" t="b">
        <f t="shared" si="16"/>
        <v>1</v>
      </c>
      <c r="AN82" s="3" t="str">
        <f t="shared" si="17"/>
        <v>Tuscarawas</v>
      </c>
      <c r="AO82" s="3" t="str">
        <f>'St of Act-Rev'!C82</f>
        <v>Tuscarawas</v>
      </c>
      <c r="AP82" s="3" t="b">
        <f>C82='St of Act-Rev'!C82</f>
        <v>1</v>
      </c>
      <c r="AQ82" s="3" t="str">
        <f>'St of Act-Exp'!C82</f>
        <v>Tuscarawas</v>
      </c>
      <c r="AR82" s="3" t="b">
        <f>C82='St of Act-Exp'!C82</f>
        <v>1</v>
      </c>
    </row>
    <row r="83" spans="1:44">
      <c r="A83" s="3" t="s">
        <v>382</v>
      </c>
      <c r="C83" s="3" t="s">
        <v>165</v>
      </c>
      <c r="E83" s="12">
        <v>46938</v>
      </c>
      <c r="G83" s="3">
        <f>+K83-I83</f>
        <v>22232826</v>
      </c>
      <c r="I83" s="3">
        <f>575181+5095105</f>
        <v>5670286</v>
      </c>
      <c r="K83" s="3">
        <v>27903112</v>
      </c>
      <c r="M83" s="3">
        <f>+S83-O83-Q83</f>
        <v>6278936</v>
      </c>
      <c r="O83" s="3">
        <v>1043714</v>
      </c>
      <c r="Q83" s="3">
        <f>5087268-1043714</f>
        <v>4043554</v>
      </c>
      <c r="S83" s="3">
        <v>11366204</v>
      </c>
      <c r="U83" s="3">
        <v>2683481</v>
      </c>
      <c r="W83" s="3">
        <f>AA83-Y83-U83</f>
        <v>468159</v>
      </c>
      <c r="Y83" s="3">
        <v>13385268</v>
      </c>
      <c r="AA83" s="3">
        <v>16536908</v>
      </c>
      <c r="AC83" s="3">
        <f>+K83-S83-AA83</f>
        <v>0</v>
      </c>
      <c r="AE83" s="3">
        <f>+G83+I83-M83-O83-U83-W83-Y83-Q83</f>
        <v>0</v>
      </c>
      <c r="AG83" s="16" t="s">
        <v>319</v>
      </c>
      <c r="AH83" s="3" t="str">
        <f>A83</f>
        <v>Educational Service Center of Central Ohio</v>
      </c>
      <c r="AI83" s="3" t="str">
        <f>'St of Act-Rev'!A83</f>
        <v>Educational Service Center of Central Ohio</v>
      </c>
      <c r="AJ83" s="3" t="b">
        <f>AH83=AI83</f>
        <v>1</v>
      </c>
      <c r="AK83" s="3" t="str">
        <f>'St of Act-Exp'!A83</f>
        <v>Educational Service Center of Central Ohio</v>
      </c>
      <c r="AL83" s="3" t="b">
        <f>A83=AK83</f>
        <v>1</v>
      </c>
      <c r="AN83" s="3" t="str">
        <f>C83</f>
        <v>Franklin</v>
      </c>
      <c r="AO83" s="3" t="str">
        <f>'St of Act-Rev'!C83</f>
        <v>Franklin</v>
      </c>
      <c r="AP83" s="3" t="b">
        <f>C83='St of Act-Rev'!C83</f>
        <v>1</v>
      </c>
      <c r="AQ83" s="3" t="str">
        <f>'St of Act-Exp'!C83</f>
        <v>Franklin</v>
      </c>
      <c r="AR83" s="3" t="b">
        <f>C83='St of Act-Exp'!C83</f>
        <v>1</v>
      </c>
    </row>
    <row r="84" spans="1:44" s="65" customFormat="1" hidden="1">
      <c r="A84" s="66" t="s">
        <v>292</v>
      </c>
      <c r="C84" s="65" t="s">
        <v>163</v>
      </c>
      <c r="E84" s="76">
        <v>125690</v>
      </c>
      <c r="G84" s="65">
        <f t="shared" si="6"/>
        <v>0</v>
      </c>
      <c r="M84" s="65">
        <f t="shared" si="7"/>
        <v>0</v>
      </c>
      <c r="W84" s="65">
        <f t="shared" si="8"/>
        <v>0</v>
      </c>
      <c r="AC84" s="65">
        <f t="shared" si="14"/>
        <v>0</v>
      </c>
      <c r="AE84" s="65">
        <f t="shared" si="15"/>
        <v>0</v>
      </c>
      <c r="AG84" s="66" t="s">
        <v>318</v>
      </c>
      <c r="AH84" s="65" t="str">
        <f t="shared" si="18"/>
        <v>Erie-Huron-Ottawa Educ Srv Ctr-now North Point ESC</v>
      </c>
      <c r="AI84" s="65" t="str">
        <f>'St of Act-Rev'!A84</f>
        <v>Erie-Huron-Ottawa Educ Srv Ctr-now North Point ESC</v>
      </c>
      <c r="AJ84" s="65" t="b">
        <f t="shared" si="19"/>
        <v>1</v>
      </c>
      <c r="AK84" s="65" t="str">
        <f>'St of Act-Exp'!A84</f>
        <v>Erie-Huron-Ottawa Educ Srv Ctr-now North Point ESC</v>
      </c>
      <c r="AL84" s="65" t="b">
        <f t="shared" si="16"/>
        <v>1</v>
      </c>
      <c r="AN84" s="65" t="str">
        <f t="shared" si="17"/>
        <v>Erie</v>
      </c>
      <c r="AO84" s="65" t="str">
        <f>'St of Act-Rev'!C84</f>
        <v>Erie</v>
      </c>
      <c r="AP84" s="65" t="b">
        <f>C84='St of Act-Rev'!C84</f>
        <v>1</v>
      </c>
      <c r="AQ84" s="65" t="str">
        <f>'St of Act-Exp'!C84</f>
        <v>Erie</v>
      </c>
      <c r="AR84" s="65" t="b">
        <f>C84='St of Act-Exp'!C84</f>
        <v>1</v>
      </c>
    </row>
    <row r="85" spans="1:44">
      <c r="A85" s="3" t="s">
        <v>385</v>
      </c>
      <c r="C85" s="3" t="s">
        <v>164</v>
      </c>
      <c r="E85" s="12">
        <v>46839</v>
      </c>
      <c r="G85" s="3">
        <f t="shared" si="6"/>
        <v>2261705</v>
      </c>
      <c r="I85" s="3">
        <v>67612</v>
      </c>
      <c r="K85" s="3">
        <v>2329317</v>
      </c>
      <c r="M85" s="3">
        <f t="shared" si="7"/>
        <v>1355885</v>
      </c>
      <c r="O85" s="3">
        <v>94423</v>
      </c>
      <c r="Q85" s="3">
        <f>384911-94423</f>
        <v>290488</v>
      </c>
      <c r="S85" s="3">
        <v>1740796</v>
      </c>
      <c r="U85" s="3">
        <v>49728</v>
      </c>
      <c r="W85" s="3">
        <f t="shared" si="8"/>
        <v>7475</v>
      </c>
      <c r="Y85" s="3">
        <v>531318</v>
      </c>
      <c r="AA85" s="3">
        <v>588521</v>
      </c>
      <c r="AC85" s="3">
        <f>+K85-S85-AA85</f>
        <v>0</v>
      </c>
      <c r="AE85" s="3">
        <f t="shared" si="15"/>
        <v>0</v>
      </c>
      <c r="AG85" s="16"/>
      <c r="AH85" s="3" t="str">
        <f t="shared" si="18"/>
        <v>Fairfield County Educ Srv Ctr</v>
      </c>
      <c r="AI85" s="3" t="str">
        <f>'St of Act-Rev'!A85</f>
        <v>Fairfield County Educ Srv Ctr</v>
      </c>
      <c r="AJ85" s="3" t="b">
        <f t="shared" si="19"/>
        <v>1</v>
      </c>
      <c r="AK85" s="3" t="str">
        <f>'St of Act-Exp'!A85</f>
        <v>Fairfield County Educ Srv Ctr</v>
      </c>
      <c r="AL85" s="3" t="b">
        <f t="shared" si="16"/>
        <v>1</v>
      </c>
      <c r="AN85" s="3" t="str">
        <f t="shared" si="17"/>
        <v>Fairfield</v>
      </c>
      <c r="AO85" s="3" t="str">
        <f>'St of Act-Rev'!C85</f>
        <v>Fairfield</v>
      </c>
      <c r="AP85" s="3" t="b">
        <f>C85='St of Act-Rev'!C85</f>
        <v>1</v>
      </c>
      <c r="AQ85" s="3" t="str">
        <f>'St of Act-Exp'!C85</f>
        <v>Fairfield</v>
      </c>
      <c r="AR85" s="3" t="b">
        <f>C85='St of Act-Exp'!C85</f>
        <v>1</v>
      </c>
    </row>
    <row r="86" spans="1:44">
      <c r="A86" s="3" t="s">
        <v>167</v>
      </c>
      <c r="C86" s="3" t="s">
        <v>168</v>
      </c>
      <c r="E86" s="12">
        <v>125682</v>
      </c>
      <c r="G86" s="3">
        <f t="shared" si="6"/>
        <v>1362194</v>
      </c>
      <c r="I86" s="3">
        <v>52586</v>
      </c>
      <c r="K86" s="3">
        <v>1414780</v>
      </c>
      <c r="M86" s="3">
        <f t="shared" si="7"/>
        <v>57503</v>
      </c>
      <c r="O86" s="3">
        <v>1522</v>
      </c>
      <c r="Q86" s="3">
        <f>63428-1522</f>
        <v>61906</v>
      </c>
      <c r="S86" s="3">
        <v>120931</v>
      </c>
      <c r="U86" s="3">
        <v>52586</v>
      </c>
      <c r="W86" s="3">
        <f t="shared" si="8"/>
        <v>244626</v>
      </c>
      <c r="Y86" s="3">
        <v>996637</v>
      </c>
      <c r="AA86" s="3">
        <v>1293849</v>
      </c>
      <c r="AC86" s="3">
        <f t="shared" si="14"/>
        <v>0</v>
      </c>
      <c r="AE86" s="3">
        <f t="shared" si="15"/>
        <v>0</v>
      </c>
      <c r="AH86" s="3" t="str">
        <f t="shared" si="18"/>
        <v>Gallia-Vinton Educ Srv Ctr</v>
      </c>
      <c r="AI86" s="3" t="str">
        <f>'St of Act-Rev'!A86</f>
        <v>Gallia-Vinton Educ Srv Ctr</v>
      </c>
      <c r="AJ86" s="3" t="b">
        <f t="shared" si="19"/>
        <v>1</v>
      </c>
      <c r="AK86" s="3" t="str">
        <f>'St of Act-Exp'!A86</f>
        <v>Gallia-Vinton Educ Srv Ctr</v>
      </c>
      <c r="AL86" s="3" t="b">
        <f t="shared" si="16"/>
        <v>1</v>
      </c>
      <c r="AN86" s="3" t="str">
        <f t="shared" si="17"/>
        <v>Gallia</v>
      </c>
      <c r="AO86" s="3" t="str">
        <f>'St of Act-Rev'!C86</f>
        <v>Gallia</v>
      </c>
      <c r="AP86" s="3" t="b">
        <f>C86='St of Act-Rev'!C86</f>
        <v>1</v>
      </c>
      <c r="AQ86" s="3" t="str">
        <f>'St of Act-Exp'!C86</f>
        <v>Gallia</v>
      </c>
      <c r="AR86" s="3" t="b">
        <f>C86='St of Act-Exp'!C86</f>
        <v>1</v>
      </c>
    </row>
    <row r="87" spans="1:44">
      <c r="A87" s="88" t="s">
        <v>384</v>
      </c>
      <c r="C87" s="3" t="s">
        <v>169</v>
      </c>
      <c r="E87" s="12">
        <v>47159</v>
      </c>
      <c r="G87" s="3">
        <f t="shared" si="6"/>
        <v>2165890</v>
      </c>
      <c r="I87" s="3">
        <v>36923</v>
      </c>
      <c r="K87" s="3">
        <v>2202813</v>
      </c>
      <c r="M87" s="3">
        <f t="shared" si="7"/>
        <v>1081962</v>
      </c>
      <c r="O87" s="3">
        <v>21532</v>
      </c>
      <c r="Q87" s="3">
        <f>232204-21532</f>
        <v>210672</v>
      </c>
      <c r="S87" s="3">
        <v>1314166</v>
      </c>
      <c r="U87" s="3">
        <v>36923</v>
      </c>
      <c r="W87" s="3">
        <f t="shared" si="8"/>
        <v>11607</v>
      </c>
      <c r="Y87" s="3">
        <v>840117</v>
      </c>
      <c r="AA87" s="3">
        <v>888647</v>
      </c>
      <c r="AC87" s="3">
        <f t="shared" si="14"/>
        <v>0</v>
      </c>
      <c r="AE87" s="3">
        <f t="shared" si="15"/>
        <v>0</v>
      </c>
      <c r="AG87" s="89"/>
      <c r="AH87" s="3" t="str">
        <f t="shared" si="18"/>
        <v>Geauga County Educ Srv Ctr</v>
      </c>
      <c r="AI87" s="3" t="str">
        <f>'St of Act-Rev'!A87</f>
        <v>Geauga County Educ Srv Ctr</v>
      </c>
      <c r="AJ87" s="3" t="b">
        <f t="shared" si="19"/>
        <v>1</v>
      </c>
      <c r="AK87" s="3" t="str">
        <f>'St of Act-Exp'!A87</f>
        <v>Geauga County Educ Srv Ctr</v>
      </c>
      <c r="AL87" s="3" t="b">
        <f t="shared" si="16"/>
        <v>1</v>
      </c>
      <c r="AN87" s="3" t="str">
        <f t="shared" si="17"/>
        <v>Geauga</v>
      </c>
      <c r="AO87" s="3" t="str">
        <f>'St of Act-Rev'!C87</f>
        <v>Geauga</v>
      </c>
      <c r="AP87" s="3" t="b">
        <f>C87='St of Act-Rev'!C87</f>
        <v>1</v>
      </c>
      <c r="AQ87" s="3" t="str">
        <f>'St of Act-Exp'!C87</f>
        <v>Geauga</v>
      </c>
      <c r="AR87" s="3" t="b">
        <f>C87='St of Act-Exp'!C87</f>
        <v>1</v>
      </c>
    </row>
    <row r="88" spans="1:44">
      <c r="A88" s="16" t="s">
        <v>328</v>
      </c>
      <c r="C88" s="3" t="s">
        <v>170</v>
      </c>
      <c r="E88" s="12">
        <v>47233</v>
      </c>
      <c r="G88" s="3">
        <f t="shared" ref="G88:G130" si="22">+K88-I88</f>
        <v>3993446</v>
      </c>
      <c r="I88" s="3">
        <v>669943</v>
      </c>
      <c r="K88" s="3">
        <v>4663389</v>
      </c>
      <c r="M88" s="3">
        <f t="shared" ref="M88:M130" si="23">+S88-O88-Q88</f>
        <v>1895191</v>
      </c>
      <c r="O88" s="3">
        <v>151224</v>
      </c>
      <c r="Q88" s="3">
        <f>953149-151224</f>
        <v>801925</v>
      </c>
      <c r="S88" s="3">
        <v>2848340</v>
      </c>
      <c r="U88" s="3">
        <v>602888</v>
      </c>
      <c r="W88" s="3">
        <f t="shared" ref="W88:W130" si="24">AA88-Y88-U88</f>
        <v>325789</v>
      </c>
      <c r="Y88" s="3">
        <v>886372</v>
      </c>
      <c r="AA88" s="3">
        <v>1815049</v>
      </c>
      <c r="AC88" s="3">
        <f t="shared" si="14"/>
        <v>0</v>
      </c>
      <c r="AE88" s="3">
        <f t="shared" si="15"/>
        <v>0</v>
      </c>
      <c r="AH88" s="3" t="str">
        <f t="shared" si="18"/>
        <v>Greene County Educ Srv Ctr</v>
      </c>
      <c r="AI88" s="3" t="str">
        <f>'St of Act-Rev'!A88</f>
        <v>Greene County Educ Srv Ctr</v>
      </c>
      <c r="AJ88" s="3" t="b">
        <f t="shared" si="19"/>
        <v>1</v>
      </c>
      <c r="AK88" s="3" t="str">
        <f>'St of Act-Exp'!A88</f>
        <v>Greene County Educ Srv Ctr</v>
      </c>
      <c r="AL88" s="3" t="b">
        <f t="shared" si="16"/>
        <v>1</v>
      </c>
      <c r="AN88" s="3" t="str">
        <f t="shared" si="17"/>
        <v>Greene</v>
      </c>
      <c r="AO88" s="3" t="str">
        <f>'St of Act-Rev'!C88</f>
        <v>Greene</v>
      </c>
      <c r="AP88" s="3" t="b">
        <f>C88='St of Act-Rev'!C88</f>
        <v>1</v>
      </c>
      <c r="AQ88" s="3" t="str">
        <f>'St of Act-Exp'!C88</f>
        <v>Greene</v>
      </c>
      <c r="AR88" s="3" t="b">
        <f>C88='St of Act-Exp'!C88</f>
        <v>1</v>
      </c>
    </row>
    <row r="89" spans="1:44">
      <c r="A89" s="16" t="s">
        <v>329</v>
      </c>
      <c r="C89" s="3" t="s">
        <v>171</v>
      </c>
      <c r="E89" s="12">
        <v>47324</v>
      </c>
      <c r="G89" s="3">
        <f t="shared" si="22"/>
        <v>16168872</v>
      </c>
      <c r="I89" s="3">
        <f>1398750+1197938</f>
        <v>2596688</v>
      </c>
      <c r="K89" s="3">
        <v>18765560</v>
      </c>
      <c r="M89" s="3">
        <f t="shared" si="23"/>
        <v>4584279</v>
      </c>
      <c r="O89" s="3">
        <v>461258</v>
      </c>
      <c r="Q89" s="3">
        <f>6988590-461258</f>
        <v>6527332</v>
      </c>
      <c r="S89" s="3">
        <v>11572869</v>
      </c>
      <c r="U89" s="3">
        <v>415688</v>
      </c>
      <c r="W89" s="3">
        <f t="shared" si="24"/>
        <v>2196126</v>
      </c>
      <c r="Y89" s="3">
        <v>4580877</v>
      </c>
      <c r="AA89" s="3">
        <v>7192691</v>
      </c>
      <c r="AC89" s="3">
        <f t="shared" si="14"/>
        <v>0</v>
      </c>
      <c r="AE89" s="3">
        <f t="shared" si="15"/>
        <v>0</v>
      </c>
      <c r="AH89" s="3" t="str">
        <f t="shared" si="18"/>
        <v>Hamilton County Educ Srv Ctr</v>
      </c>
      <c r="AI89" s="3" t="str">
        <f>'St of Act-Rev'!A89</f>
        <v>Hamilton County Educ Srv Ctr</v>
      </c>
      <c r="AJ89" s="3" t="b">
        <f t="shared" si="19"/>
        <v>1</v>
      </c>
      <c r="AK89" s="3" t="str">
        <f>'St of Act-Exp'!A89</f>
        <v>Hamilton County Educ Srv Ctr</v>
      </c>
      <c r="AL89" s="3" t="b">
        <f t="shared" si="16"/>
        <v>1</v>
      </c>
      <c r="AN89" s="3" t="str">
        <f t="shared" si="17"/>
        <v>Hamilton</v>
      </c>
      <c r="AO89" s="3" t="str">
        <f>'St of Act-Rev'!C89</f>
        <v>Hamilton</v>
      </c>
      <c r="AP89" s="3" t="b">
        <f>C89='St of Act-Rev'!C89</f>
        <v>1</v>
      </c>
      <c r="AQ89" s="3" t="str">
        <f>'St of Act-Exp'!C89</f>
        <v>Hamilton</v>
      </c>
      <c r="AR89" s="3" t="b">
        <f>C89='St of Act-Exp'!C89</f>
        <v>1</v>
      </c>
    </row>
    <row r="90" spans="1:44">
      <c r="A90" s="16" t="s">
        <v>330</v>
      </c>
      <c r="C90" s="3" t="s">
        <v>172</v>
      </c>
      <c r="E90" s="12">
        <v>47407</v>
      </c>
      <c r="G90" s="3">
        <f t="shared" si="22"/>
        <v>1000256</v>
      </c>
      <c r="I90" s="3">
        <v>42940</v>
      </c>
      <c r="K90" s="3">
        <v>1043196</v>
      </c>
      <c r="M90" s="3">
        <f t="shared" si="23"/>
        <v>643433</v>
      </c>
      <c r="O90" s="3">
        <v>78578</v>
      </c>
      <c r="Q90" s="3">
        <f>391846-78578</f>
        <v>313268</v>
      </c>
      <c r="S90" s="3">
        <v>1035279</v>
      </c>
      <c r="U90" s="3">
        <v>42940</v>
      </c>
      <c r="W90" s="3">
        <f t="shared" si="24"/>
        <v>12863</v>
      </c>
      <c r="Y90" s="3">
        <v>-47886</v>
      </c>
      <c r="AA90" s="3">
        <v>7917</v>
      </c>
      <c r="AC90" s="3">
        <f t="shared" si="14"/>
        <v>0</v>
      </c>
      <c r="AE90" s="3">
        <f t="shared" si="15"/>
        <v>0</v>
      </c>
      <c r="AH90" s="3" t="str">
        <f t="shared" si="18"/>
        <v>Hancock County Educ Srv Ctr</v>
      </c>
      <c r="AI90" s="3" t="str">
        <f>'St of Act-Rev'!A90</f>
        <v>Hancock County Educ Srv Ctr</v>
      </c>
      <c r="AJ90" s="3" t="b">
        <f t="shared" si="19"/>
        <v>1</v>
      </c>
      <c r="AK90" s="3" t="str">
        <f>'St of Act-Exp'!A90</f>
        <v>Hancock County Educ Srv Ctr</v>
      </c>
      <c r="AL90" s="3" t="b">
        <f t="shared" si="16"/>
        <v>1</v>
      </c>
      <c r="AN90" s="3" t="str">
        <f t="shared" si="17"/>
        <v>Hancock</v>
      </c>
      <c r="AO90" s="3" t="str">
        <f>'St of Act-Rev'!C90</f>
        <v>Hancock</v>
      </c>
      <c r="AP90" s="3" t="b">
        <f>C90='St of Act-Rev'!C90</f>
        <v>1</v>
      </c>
      <c r="AQ90" s="3" t="str">
        <f>'St of Act-Exp'!C90</f>
        <v>Hancock</v>
      </c>
      <c r="AR90" s="3" t="b">
        <f>C90='St of Act-Exp'!C90</f>
        <v>1</v>
      </c>
    </row>
    <row r="91" spans="1:44">
      <c r="A91" s="16" t="s">
        <v>331</v>
      </c>
      <c r="C91" s="3" t="s">
        <v>21</v>
      </c>
      <c r="E91" s="12">
        <v>47480</v>
      </c>
      <c r="G91" s="3">
        <f t="shared" si="22"/>
        <v>1576523</v>
      </c>
      <c r="I91" s="3">
        <v>21066</v>
      </c>
      <c r="K91" s="3">
        <v>1597589</v>
      </c>
      <c r="M91" s="3">
        <f t="shared" si="23"/>
        <v>505549</v>
      </c>
      <c r="O91" s="3">
        <v>0</v>
      </c>
      <c r="Q91" s="3">
        <v>27988</v>
      </c>
      <c r="S91" s="3">
        <v>533537</v>
      </c>
      <c r="U91" s="3">
        <v>754</v>
      </c>
      <c r="W91" s="3">
        <f t="shared" si="24"/>
        <v>498527</v>
      </c>
      <c r="Y91" s="3">
        <v>564771</v>
      </c>
      <c r="AA91" s="3">
        <v>1064052</v>
      </c>
      <c r="AC91" s="3">
        <f t="shared" si="14"/>
        <v>0</v>
      </c>
      <c r="AE91" s="3">
        <f t="shared" si="15"/>
        <v>0</v>
      </c>
      <c r="AH91" s="3" t="str">
        <f t="shared" si="18"/>
        <v>Hardin County Educ Srv Ctr</v>
      </c>
      <c r="AI91" s="3" t="str">
        <f>'St of Act-Rev'!A91</f>
        <v>Hardin County Educ Srv Ctr</v>
      </c>
      <c r="AJ91" s="3" t="b">
        <f t="shared" si="19"/>
        <v>1</v>
      </c>
      <c r="AK91" s="3" t="str">
        <f>'St of Act-Exp'!A91</f>
        <v>Hardin County Educ Srv Ctr</v>
      </c>
      <c r="AL91" s="3" t="b">
        <f t="shared" si="16"/>
        <v>1</v>
      </c>
      <c r="AN91" s="3" t="str">
        <f t="shared" si="17"/>
        <v>Hardin</v>
      </c>
      <c r="AO91" s="3" t="str">
        <f>'St of Act-Rev'!C91</f>
        <v>Hardin</v>
      </c>
      <c r="AP91" s="3" t="b">
        <f>C91='St of Act-Rev'!C91</f>
        <v>1</v>
      </c>
      <c r="AQ91" s="3" t="str">
        <f>'St of Act-Exp'!C91</f>
        <v>Hardin</v>
      </c>
      <c r="AR91" s="3" t="b">
        <f>C91='St of Act-Exp'!C91</f>
        <v>1</v>
      </c>
    </row>
    <row r="92" spans="1:44">
      <c r="A92" s="16" t="s">
        <v>332</v>
      </c>
      <c r="C92" s="3" t="s">
        <v>173</v>
      </c>
      <c r="E92" s="12">
        <v>47779</v>
      </c>
      <c r="G92" s="3">
        <f t="shared" si="22"/>
        <v>4504851</v>
      </c>
      <c r="I92" s="3">
        <v>309755</v>
      </c>
      <c r="K92" s="3">
        <v>4814606</v>
      </c>
      <c r="M92" s="3">
        <f t="shared" si="23"/>
        <v>689952</v>
      </c>
      <c r="O92" s="3">
        <v>87720</v>
      </c>
      <c r="Q92" s="3">
        <f>235670-87720</f>
        <v>147950</v>
      </c>
      <c r="S92" s="3">
        <v>925622</v>
      </c>
      <c r="U92" s="3">
        <v>297920</v>
      </c>
      <c r="W92" s="3">
        <f t="shared" si="24"/>
        <v>8526</v>
      </c>
      <c r="Y92" s="3">
        <v>3582538</v>
      </c>
      <c r="AA92" s="3">
        <v>3888984</v>
      </c>
      <c r="AC92" s="3">
        <f t="shared" si="14"/>
        <v>0</v>
      </c>
      <c r="AE92" s="3">
        <f t="shared" si="15"/>
        <v>0</v>
      </c>
      <c r="AH92" s="3" t="str">
        <f t="shared" si="18"/>
        <v>Jefferson County Educ Srv Ctr</v>
      </c>
      <c r="AI92" s="3" t="str">
        <f>'St of Act-Rev'!A92</f>
        <v>Jefferson County Educ Srv Ctr</v>
      </c>
      <c r="AJ92" s="3" t="b">
        <f t="shared" si="19"/>
        <v>1</v>
      </c>
      <c r="AK92" s="3" t="str">
        <f>'St of Act-Exp'!A92</f>
        <v>Jefferson County Educ Srv Ctr</v>
      </c>
      <c r="AL92" s="3" t="b">
        <f t="shared" si="16"/>
        <v>1</v>
      </c>
      <c r="AN92" s="3" t="str">
        <f t="shared" si="17"/>
        <v>Jefferson</v>
      </c>
      <c r="AO92" s="3" t="str">
        <f>'St of Act-Rev'!C92</f>
        <v>Jefferson</v>
      </c>
      <c r="AP92" s="3" t="b">
        <f>C92='St of Act-Rev'!C92</f>
        <v>1</v>
      </c>
      <c r="AQ92" s="3" t="str">
        <f>'St of Act-Exp'!C92</f>
        <v>Jefferson</v>
      </c>
      <c r="AR92" s="3" t="b">
        <f>C92='St of Act-Exp'!C92</f>
        <v>1</v>
      </c>
    </row>
    <row r="93" spans="1:44">
      <c r="A93" s="16" t="s">
        <v>333</v>
      </c>
      <c r="C93" s="3" t="s">
        <v>174</v>
      </c>
      <c r="E93" s="12">
        <v>47811</v>
      </c>
      <c r="G93" s="3">
        <f t="shared" si="22"/>
        <v>214145</v>
      </c>
      <c r="I93" s="3">
        <v>191669</v>
      </c>
      <c r="K93" s="3">
        <v>405814</v>
      </c>
      <c r="M93" s="3">
        <f t="shared" si="23"/>
        <v>808286</v>
      </c>
      <c r="O93" s="3">
        <v>19518</v>
      </c>
      <c r="Q93" s="3">
        <f>97583-19518</f>
        <v>78065</v>
      </c>
      <c r="S93" s="3">
        <v>905869</v>
      </c>
      <c r="U93" s="3">
        <v>191669</v>
      </c>
      <c r="W93" s="3">
        <f t="shared" si="24"/>
        <v>88491</v>
      </c>
      <c r="Y93" s="3">
        <v>-780215</v>
      </c>
      <c r="AA93" s="3">
        <v>-500055</v>
      </c>
      <c r="AC93" s="3">
        <f t="shared" si="14"/>
        <v>0</v>
      </c>
      <c r="AE93" s="3">
        <f t="shared" si="15"/>
        <v>0</v>
      </c>
      <c r="AH93" s="3" t="str">
        <f t="shared" si="18"/>
        <v>Knox County Educ Srv Ctr</v>
      </c>
      <c r="AI93" s="3" t="str">
        <f>'St of Act-Rev'!A93</f>
        <v>Knox County Educ Srv Ctr</v>
      </c>
      <c r="AJ93" s="3" t="b">
        <f t="shared" si="19"/>
        <v>1</v>
      </c>
      <c r="AK93" s="3" t="str">
        <f>'St of Act-Exp'!A93</f>
        <v>Knox County Educ Srv Ctr</v>
      </c>
      <c r="AL93" s="3" t="b">
        <f t="shared" si="16"/>
        <v>1</v>
      </c>
      <c r="AN93" s="3" t="str">
        <f t="shared" si="17"/>
        <v>Knox</v>
      </c>
      <c r="AO93" s="3" t="str">
        <f>'St of Act-Rev'!C93</f>
        <v>Knox</v>
      </c>
      <c r="AP93" s="3" t="b">
        <f>C93='St of Act-Rev'!C93</f>
        <v>1</v>
      </c>
      <c r="AQ93" s="3" t="str">
        <f>'St of Act-Exp'!C93</f>
        <v>Knox</v>
      </c>
      <c r="AR93" s="3" t="b">
        <f>C93='St of Act-Exp'!C93</f>
        <v>1</v>
      </c>
    </row>
    <row r="94" spans="1:44">
      <c r="A94" s="16" t="s">
        <v>334</v>
      </c>
      <c r="C94" s="3" t="s">
        <v>149</v>
      </c>
      <c r="E94" s="12">
        <v>47860</v>
      </c>
      <c r="G94" s="3">
        <f t="shared" si="22"/>
        <v>6035539</v>
      </c>
      <c r="I94" s="3">
        <v>22663</v>
      </c>
      <c r="K94" s="3">
        <v>6058202</v>
      </c>
      <c r="M94" s="3">
        <f t="shared" si="23"/>
        <v>4410684</v>
      </c>
      <c r="O94" s="3">
        <v>74504</v>
      </c>
      <c r="Q94" s="3">
        <f>200903-74504</f>
        <v>126399</v>
      </c>
      <c r="S94" s="3">
        <v>4611587</v>
      </c>
      <c r="U94" s="3">
        <v>22663</v>
      </c>
      <c r="W94" s="3">
        <f t="shared" si="24"/>
        <v>583991</v>
      </c>
      <c r="Y94" s="3">
        <v>839961</v>
      </c>
      <c r="AA94" s="3">
        <v>1446615</v>
      </c>
      <c r="AC94" s="3">
        <f>+K94-S94-AA94</f>
        <v>0</v>
      </c>
      <c r="AE94" s="3">
        <f t="shared" si="15"/>
        <v>0</v>
      </c>
      <c r="AG94" s="16" t="s">
        <v>387</v>
      </c>
      <c r="AH94" s="3" t="str">
        <f t="shared" si="18"/>
        <v>Lake County Educ Srv Ctr</v>
      </c>
      <c r="AI94" s="3" t="str">
        <f>'St of Act-Rev'!A94</f>
        <v>Lake County Educ Srv Ctr</v>
      </c>
      <c r="AJ94" s="3" t="b">
        <f t="shared" si="19"/>
        <v>1</v>
      </c>
      <c r="AK94" s="3" t="str">
        <f>'St of Act-Exp'!A94</f>
        <v>Lake County Educ Srv Ctr</v>
      </c>
      <c r="AL94" s="3" t="b">
        <f t="shared" si="16"/>
        <v>1</v>
      </c>
      <c r="AN94" s="3" t="str">
        <f t="shared" si="17"/>
        <v>Lake</v>
      </c>
      <c r="AO94" s="3" t="str">
        <f>'St of Act-Rev'!C94</f>
        <v>Lake</v>
      </c>
      <c r="AP94" s="3" t="b">
        <f>C94='St of Act-Rev'!C94</f>
        <v>1</v>
      </c>
      <c r="AQ94" s="3" t="str">
        <f>'St of Act-Exp'!C94</f>
        <v>Lake</v>
      </c>
      <c r="AR94" s="3" t="b">
        <f>C94='St of Act-Exp'!C94</f>
        <v>1</v>
      </c>
    </row>
    <row r="95" spans="1:44">
      <c r="A95" s="16" t="s">
        <v>335</v>
      </c>
      <c r="C95" s="3" t="s">
        <v>175</v>
      </c>
      <c r="E95" s="12">
        <v>47910</v>
      </c>
      <c r="G95" s="3">
        <f t="shared" si="22"/>
        <v>707369</v>
      </c>
      <c r="I95" s="3">
        <v>12883</v>
      </c>
      <c r="K95" s="3">
        <v>720252</v>
      </c>
      <c r="M95" s="3">
        <f t="shared" si="23"/>
        <v>58906</v>
      </c>
      <c r="O95" s="3">
        <v>67569</v>
      </c>
      <c r="Q95" s="3">
        <f>119672-67569</f>
        <v>52103</v>
      </c>
      <c r="S95" s="3">
        <v>178578</v>
      </c>
      <c r="U95" s="3">
        <v>12883</v>
      </c>
      <c r="W95" s="3">
        <f t="shared" si="24"/>
        <v>42541</v>
      </c>
      <c r="Y95" s="3">
        <v>486250</v>
      </c>
      <c r="AA95" s="3">
        <v>541674</v>
      </c>
      <c r="AC95" s="3">
        <f t="shared" si="14"/>
        <v>0</v>
      </c>
      <c r="AE95" s="3">
        <f t="shared" si="15"/>
        <v>0</v>
      </c>
      <c r="AG95" s="90" t="s">
        <v>320</v>
      </c>
      <c r="AH95" s="3" t="str">
        <f t="shared" si="18"/>
        <v>Lawrence County Educ Srv Ctr</v>
      </c>
      <c r="AI95" s="3" t="str">
        <f>'St of Act-Rev'!A95</f>
        <v>Lawrence County Educ Srv Ctr</v>
      </c>
      <c r="AJ95" s="3" t="b">
        <f t="shared" si="19"/>
        <v>1</v>
      </c>
      <c r="AK95" s="3" t="str">
        <f>'St of Act-Exp'!A95</f>
        <v>Lawrence County Educ Srv Ctr</v>
      </c>
      <c r="AL95" s="3" t="b">
        <f t="shared" si="16"/>
        <v>1</v>
      </c>
      <c r="AN95" s="3" t="str">
        <f t="shared" si="17"/>
        <v>Lawrence</v>
      </c>
      <c r="AO95" s="3" t="str">
        <f>'St of Act-Rev'!C95</f>
        <v>Lawrence</v>
      </c>
      <c r="AP95" s="3" t="b">
        <f>C95='St of Act-Rev'!C95</f>
        <v>1</v>
      </c>
      <c r="AQ95" s="3" t="str">
        <f>'St of Act-Exp'!C95</f>
        <v>Lawrence</v>
      </c>
      <c r="AR95" s="3" t="b">
        <f>C95='St of Act-Exp'!C95</f>
        <v>1</v>
      </c>
    </row>
    <row r="96" spans="1:44">
      <c r="A96" s="3" t="s">
        <v>336</v>
      </c>
      <c r="C96" s="3" t="s">
        <v>176</v>
      </c>
      <c r="G96" s="3">
        <f>+K96-I96</f>
        <v>3331525</v>
      </c>
      <c r="I96" s="3">
        <v>128592</v>
      </c>
      <c r="K96" s="3">
        <v>3460117</v>
      </c>
      <c r="M96" s="3">
        <f>+S96-O96-Q96</f>
        <v>1201589</v>
      </c>
      <c r="O96" s="3">
        <v>142836</v>
      </c>
      <c r="Q96" s="3">
        <f>404675-142836</f>
        <v>261839</v>
      </c>
      <c r="S96" s="3">
        <v>1606264</v>
      </c>
      <c r="U96" s="3">
        <v>68611</v>
      </c>
      <c r="W96" s="3">
        <f>AA96-Y96-U96</f>
        <v>33819</v>
      </c>
      <c r="Y96" s="3">
        <v>1751423</v>
      </c>
      <c r="AA96" s="3">
        <v>1853853</v>
      </c>
      <c r="AC96" s="3">
        <f>+K96-S96-AA96</f>
        <v>0</v>
      </c>
      <c r="AE96" s="3">
        <f>+G96+I96-M96-O96-U96-W96-Y96-Q96</f>
        <v>0</v>
      </c>
      <c r="AH96" s="3" t="str">
        <f t="shared" si="18"/>
        <v>Licking County Educ Srv Ctr</v>
      </c>
      <c r="AI96" s="3" t="str">
        <f>'St of Act-Rev'!A96</f>
        <v>Licking County Educ Srv Ctr</v>
      </c>
      <c r="AJ96" s="3" t="b">
        <f t="shared" si="19"/>
        <v>1</v>
      </c>
      <c r="AK96" s="3" t="str">
        <f>'St of Act-Exp'!A96</f>
        <v>Licking County Educ Srv Ctr</v>
      </c>
      <c r="AL96" s="3" t="b">
        <f t="shared" si="16"/>
        <v>1</v>
      </c>
      <c r="AN96" s="3" t="str">
        <f t="shared" si="17"/>
        <v>Licking</v>
      </c>
      <c r="AO96" s="3" t="str">
        <f>'St of Act-Rev'!C96</f>
        <v>Licking</v>
      </c>
      <c r="AP96" s="3" t="b">
        <f>C96='St of Act-Rev'!C96</f>
        <v>1</v>
      </c>
      <c r="AQ96" s="3" t="str">
        <f>'St of Act-Exp'!C96</f>
        <v>Licking</v>
      </c>
      <c r="AR96" s="3" t="b">
        <f>C96='St of Act-Exp'!C96</f>
        <v>1</v>
      </c>
    </row>
    <row r="97" spans="1:44">
      <c r="A97" s="16" t="s">
        <v>337</v>
      </c>
      <c r="C97" s="3" t="s">
        <v>177</v>
      </c>
      <c r="E97" s="12">
        <v>48058</v>
      </c>
      <c r="G97" s="3">
        <f t="shared" si="22"/>
        <v>1075960</v>
      </c>
      <c r="I97" s="3">
        <v>35086</v>
      </c>
      <c r="K97" s="3">
        <v>1111046</v>
      </c>
      <c r="M97" s="3">
        <f t="shared" si="23"/>
        <v>355949</v>
      </c>
      <c r="O97" s="3">
        <v>35527</v>
      </c>
      <c r="Q97" s="3">
        <f>86964-35527</f>
        <v>51437</v>
      </c>
      <c r="S97" s="3">
        <v>442913</v>
      </c>
      <c r="U97" s="3">
        <v>35086</v>
      </c>
      <c r="W97" s="3">
        <f t="shared" si="24"/>
        <v>352348</v>
      </c>
      <c r="Y97" s="3">
        <v>280699</v>
      </c>
      <c r="AA97" s="3">
        <v>668133</v>
      </c>
      <c r="AC97" s="3">
        <f t="shared" si="14"/>
        <v>0</v>
      </c>
      <c r="AE97" s="3">
        <f t="shared" si="15"/>
        <v>0</v>
      </c>
      <c r="AG97" s="90" t="s">
        <v>320</v>
      </c>
      <c r="AH97" s="3" t="str">
        <f t="shared" si="18"/>
        <v>Logan County Educ Srv Ctr</v>
      </c>
      <c r="AI97" s="3" t="str">
        <f>'St of Act-Rev'!A97</f>
        <v>Logan County Educ Srv Ctr</v>
      </c>
      <c r="AJ97" s="3" t="b">
        <f t="shared" si="19"/>
        <v>1</v>
      </c>
      <c r="AK97" s="3" t="str">
        <f>'St of Act-Exp'!A97</f>
        <v>Logan County Educ Srv Ctr</v>
      </c>
      <c r="AL97" s="3" t="b">
        <f t="shared" si="16"/>
        <v>1</v>
      </c>
      <c r="AN97" s="3" t="str">
        <f t="shared" si="17"/>
        <v>Logan</v>
      </c>
      <c r="AO97" s="3" t="str">
        <f>'St of Act-Rev'!C97</f>
        <v>Logan</v>
      </c>
      <c r="AP97" s="3" t="b">
        <f>C97='St of Act-Rev'!C97</f>
        <v>1</v>
      </c>
      <c r="AQ97" s="3" t="str">
        <f>'St of Act-Exp'!C97</f>
        <v>Logan</v>
      </c>
      <c r="AR97" s="3" t="b">
        <f>C97='St of Act-Exp'!C97</f>
        <v>1</v>
      </c>
    </row>
    <row r="98" spans="1:44">
      <c r="A98" s="16" t="s">
        <v>338</v>
      </c>
      <c r="C98" s="3" t="s">
        <v>145</v>
      </c>
      <c r="E98" s="12">
        <v>48108</v>
      </c>
      <c r="G98" s="3">
        <f t="shared" si="22"/>
        <v>3490194</v>
      </c>
      <c r="I98" s="3">
        <f>227600+870901</f>
        <v>1098501</v>
      </c>
      <c r="K98" s="3">
        <v>4588695</v>
      </c>
      <c r="M98" s="3">
        <f t="shared" si="23"/>
        <v>937984</v>
      </c>
      <c r="O98" s="3">
        <v>164116</v>
      </c>
      <c r="Q98" s="3">
        <f>589496-164116</f>
        <v>425380</v>
      </c>
      <c r="S98" s="3">
        <v>1527480</v>
      </c>
      <c r="U98" s="3">
        <v>1098501</v>
      </c>
      <c r="W98" s="3">
        <f t="shared" si="24"/>
        <v>64993</v>
      </c>
      <c r="Y98" s="3">
        <v>1897721</v>
      </c>
      <c r="AA98" s="3">
        <v>3061215</v>
      </c>
      <c r="AC98" s="3">
        <f t="shared" si="14"/>
        <v>0</v>
      </c>
      <c r="AE98" s="3">
        <f t="shared" si="15"/>
        <v>0</v>
      </c>
      <c r="AG98" s="16" t="s">
        <v>388</v>
      </c>
      <c r="AH98" s="3" t="str">
        <f t="shared" si="18"/>
        <v>Lorain County Educ Srv Ctr</v>
      </c>
      <c r="AI98" s="3" t="str">
        <f>'St of Act-Rev'!A98</f>
        <v>Lorain County Educ Srv Ctr</v>
      </c>
      <c r="AJ98" s="3" t="b">
        <f t="shared" si="19"/>
        <v>1</v>
      </c>
      <c r="AK98" s="3" t="str">
        <f>'St of Act-Exp'!A98</f>
        <v>Lorain County Educ Srv Ctr</v>
      </c>
      <c r="AL98" s="3" t="b">
        <f t="shared" si="16"/>
        <v>1</v>
      </c>
      <c r="AN98" s="3" t="str">
        <f t="shared" si="17"/>
        <v>Lorain</v>
      </c>
      <c r="AO98" s="3" t="str">
        <f>'St of Act-Rev'!C98</f>
        <v>Lorain</v>
      </c>
      <c r="AP98" s="3" t="b">
        <f>C98='St of Act-Rev'!C98</f>
        <v>1</v>
      </c>
      <c r="AQ98" s="3" t="str">
        <f>'St of Act-Exp'!C98</f>
        <v>Lorain</v>
      </c>
      <c r="AR98" s="3" t="b">
        <f>C98='St of Act-Exp'!C98</f>
        <v>1</v>
      </c>
    </row>
    <row r="99" spans="1:44">
      <c r="A99" s="16" t="s">
        <v>339</v>
      </c>
      <c r="C99" s="3" t="s">
        <v>178</v>
      </c>
      <c r="E99" s="12">
        <v>48199</v>
      </c>
      <c r="G99" s="3">
        <f t="shared" si="22"/>
        <v>6555295</v>
      </c>
      <c r="I99" s="3">
        <v>3483650</v>
      </c>
      <c r="K99" s="3">
        <v>10038945</v>
      </c>
      <c r="M99" s="3">
        <f t="shared" si="23"/>
        <v>1884280</v>
      </c>
      <c r="O99" s="3">
        <v>506243</v>
      </c>
      <c r="Q99" s="3">
        <f>1742268-506243</f>
        <v>1236025</v>
      </c>
      <c r="S99" s="3">
        <v>3626548</v>
      </c>
      <c r="U99" s="3">
        <v>3475760</v>
      </c>
      <c r="W99" s="3">
        <f t="shared" si="24"/>
        <v>1406232</v>
      </c>
      <c r="Y99" s="3">
        <v>1530405</v>
      </c>
      <c r="AA99" s="3">
        <v>6412397</v>
      </c>
      <c r="AC99" s="3">
        <f t="shared" si="14"/>
        <v>0</v>
      </c>
      <c r="AE99" s="3">
        <f t="shared" si="15"/>
        <v>0</v>
      </c>
      <c r="AH99" s="3" t="str">
        <f t="shared" si="18"/>
        <v>Lucas County Educ Srv Ctr</v>
      </c>
      <c r="AI99" s="3" t="str">
        <f>'St of Act-Rev'!A99</f>
        <v>Lucas County Educ Srv Ctr</v>
      </c>
      <c r="AJ99" s="3" t="b">
        <f t="shared" si="19"/>
        <v>1</v>
      </c>
      <c r="AK99" s="3" t="str">
        <f>'St of Act-Exp'!A99</f>
        <v>Lucas County Educ Srv Ctr</v>
      </c>
      <c r="AL99" s="3" t="b">
        <f t="shared" si="16"/>
        <v>1</v>
      </c>
      <c r="AN99" s="3" t="str">
        <f t="shared" si="17"/>
        <v>Lucas</v>
      </c>
      <c r="AO99" s="3" t="str">
        <f>'St of Act-Rev'!C99</f>
        <v>Lucas</v>
      </c>
      <c r="AP99" s="3" t="b">
        <f>C99='St of Act-Rev'!C99</f>
        <v>1</v>
      </c>
      <c r="AQ99" s="3" t="str">
        <f>'St of Act-Exp'!C99</f>
        <v>Lucas</v>
      </c>
      <c r="AR99" s="3" t="b">
        <f>C99='St of Act-Exp'!C99</f>
        <v>1</v>
      </c>
    </row>
    <row r="100" spans="1:44" s="65" customFormat="1" hidden="1">
      <c r="A100" s="65" t="s">
        <v>391</v>
      </c>
      <c r="C100" s="65" t="s">
        <v>154</v>
      </c>
      <c r="E100" s="76">
        <v>137364</v>
      </c>
      <c r="G100" s="65">
        <f t="shared" si="22"/>
        <v>0</v>
      </c>
      <c r="M100" s="65">
        <f t="shared" si="23"/>
        <v>0</v>
      </c>
      <c r="W100" s="65">
        <f t="shared" si="24"/>
        <v>0</v>
      </c>
      <c r="AC100" s="65">
        <f t="shared" si="14"/>
        <v>0</v>
      </c>
      <c r="AE100" s="65">
        <f t="shared" si="15"/>
        <v>0</v>
      </c>
      <c r="AG100" s="65" t="s">
        <v>390</v>
      </c>
      <c r="AH100" s="65" t="str">
        <f t="shared" si="18"/>
        <v>Madison-Champaign Educ Srv Ctr (CASH)</v>
      </c>
      <c r="AI100" s="65" t="str">
        <f>'St of Act-Rev'!A100</f>
        <v>Madison-Champaign Educ Srv Ctr (CASH)</v>
      </c>
      <c r="AJ100" s="65" t="b">
        <f t="shared" si="19"/>
        <v>1</v>
      </c>
      <c r="AK100" s="65" t="str">
        <f>'St of Act-Exp'!A100</f>
        <v>Madison-Champaign Educ Srv Ctr (CASH)</v>
      </c>
      <c r="AL100" s="65" t="b">
        <f t="shared" si="16"/>
        <v>1</v>
      </c>
      <c r="AN100" s="65" t="str">
        <f t="shared" si="17"/>
        <v>Champaign</v>
      </c>
      <c r="AO100" s="65" t="str">
        <f>'St of Act-Rev'!C100</f>
        <v>Champaign</v>
      </c>
      <c r="AP100" s="65" t="b">
        <f>C100='St of Act-Rev'!C100</f>
        <v>1</v>
      </c>
      <c r="AQ100" s="65" t="str">
        <f>'St of Act-Exp'!C100</f>
        <v>Champaign</v>
      </c>
      <c r="AR100" s="65" t="b">
        <f>C100='St of Act-Exp'!C100</f>
        <v>1</v>
      </c>
    </row>
    <row r="101" spans="1:44">
      <c r="A101" s="3" t="s">
        <v>392</v>
      </c>
      <c r="C101" s="3" t="s">
        <v>179</v>
      </c>
      <c r="E101" s="12">
        <v>48280</v>
      </c>
      <c r="G101" s="3">
        <f t="shared" si="22"/>
        <v>6830795</v>
      </c>
      <c r="I101" s="3">
        <v>268955</v>
      </c>
      <c r="K101" s="3">
        <v>7099750</v>
      </c>
      <c r="M101" s="3">
        <f t="shared" si="23"/>
        <v>2266678</v>
      </c>
      <c r="O101" s="3">
        <v>250504</v>
      </c>
      <c r="Q101" s="3">
        <f>734734-250504</f>
        <v>484230</v>
      </c>
      <c r="S101" s="3">
        <v>3001412</v>
      </c>
      <c r="U101" s="3">
        <v>268955</v>
      </c>
      <c r="W101" s="3">
        <f t="shared" si="24"/>
        <v>2148484</v>
      </c>
      <c r="Y101" s="3">
        <v>1680899</v>
      </c>
      <c r="AA101" s="3">
        <v>4098338</v>
      </c>
      <c r="AC101" s="3">
        <f t="shared" si="14"/>
        <v>0</v>
      </c>
      <c r="AE101" s="3">
        <f t="shared" si="15"/>
        <v>0</v>
      </c>
      <c r="AH101" s="3" t="str">
        <f t="shared" si="18"/>
        <v>Mahoning County Educ Srv Ctr</v>
      </c>
      <c r="AI101" s="3" t="str">
        <f>'St of Act-Rev'!A101</f>
        <v>Mahoning County Educ Srv Ctr</v>
      </c>
      <c r="AJ101" s="3" t="b">
        <f t="shared" si="19"/>
        <v>1</v>
      </c>
      <c r="AK101" s="3" t="str">
        <f>'St of Act-Exp'!A101</f>
        <v>Mahoning County Educ Srv Ctr</v>
      </c>
      <c r="AL101" s="3" t="b">
        <f t="shared" si="16"/>
        <v>1</v>
      </c>
      <c r="AN101" s="3" t="str">
        <f t="shared" si="17"/>
        <v>Mahoning</v>
      </c>
      <c r="AO101" s="3" t="str">
        <f>'St of Act-Rev'!C101</f>
        <v>Mahoning</v>
      </c>
      <c r="AP101" s="3" t="b">
        <f>C101='St of Act-Rev'!C101</f>
        <v>1</v>
      </c>
      <c r="AQ101" s="3" t="str">
        <f>'St of Act-Exp'!C101</f>
        <v>Mahoning</v>
      </c>
      <c r="AR101" s="3" t="b">
        <f>C101='St of Act-Exp'!C101</f>
        <v>1</v>
      </c>
    </row>
    <row r="102" spans="1:44">
      <c r="A102" s="3" t="s">
        <v>180</v>
      </c>
      <c r="C102" s="3" t="s">
        <v>181</v>
      </c>
      <c r="E102" s="12">
        <v>48454</v>
      </c>
      <c r="G102" s="3">
        <f t="shared" si="22"/>
        <v>2011790</v>
      </c>
      <c r="I102" s="3">
        <v>110749</v>
      </c>
      <c r="K102" s="3">
        <v>2122539</v>
      </c>
      <c r="M102" s="3">
        <f t="shared" si="23"/>
        <v>237617</v>
      </c>
      <c r="O102" s="3">
        <v>69439</v>
      </c>
      <c r="Q102" s="3">
        <f>166169-69439</f>
        <v>96730</v>
      </c>
      <c r="S102" s="3">
        <v>403786</v>
      </c>
      <c r="U102" s="3">
        <v>110749</v>
      </c>
      <c r="W102" s="3">
        <f t="shared" si="24"/>
        <v>1089157</v>
      </c>
      <c r="Y102" s="3">
        <v>518847</v>
      </c>
      <c r="AA102" s="3">
        <v>1718753</v>
      </c>
      <c r="AC102" s="3">
        <f t="shared" si="14"/>
        <v>0</v>
      </c>
      <c r="AE102" s="3">
        <f t="shared" si="15"/>
        <v>0</v>
      </c>
      <c r="AH102" s="3" t="str">
        <f t="shared" si="18"/>
        <v>Medina County Educ Srv Ctr</v>
      </c>
      <c r="AI102" s="3" t="str">
        <f>'St of Act-Rev'!A102</f>
        <v>Medina County Educ Srv Ctr</v>
      </c>
      <c r="AJ102" s="3" t="b">
        <f t="shared" si="19"/>
        <v>1</v>
      </c>
      <c r="AK102" s="3" t="str">
        <f>'St of Act-Exp'!A102</f>
        <v>Medina County Educ Srv Ctr</v>
      </c>
      <c r="AL102" s="3" t="b">
        <f t="shared" si="16"/>
        <v>1</v>
      </c>
      <c r="AN102" s="3" t="str">
        <f t="shared" si="17"/>
        <v>Medina</v>
      </c>
      <c r="AO102" s="3" t="str">
        <f>'St of Act-Rev'!C102</f>
        <v>Medina</v>
      </c>
      <c r="AP102" s="3" t="b">
        <f>C102='St of Act-Rev'!C102</f>
        <v>1</v>
      </c>
      <c r="AQ102" s="3" t="str">
        <f>'St of Act-Exp'!C102</f>
        <v>Medina</v>
      </c>
      <c r="AR102" s="3" t="b">
        <f>C102='St of Act-Exp'!C102</f>
        <v>1</v>
      </c>
    </row>
    <row r="103" spans="1:44" s="65" customFormat="1" hidden="1">
      <c r="A103" s="65" t="s">
        <v>394</v>
      </c>
      <c r="C103" s="65" t="s">
        <v>182</v>
      </c>
      <c r="E103" s="76">
        <v>48546</v>
      </c>
      <c r="G103" s="65">
        <f t="shared" si="22"/>
        <v>0</v>
      </c>
      <c r="M103" s="65">
        <f t="shared" si="23"/>
        <v>0</v>
      </c>
      <c r="W103" s="65">
        <f t="shared" si="24"/>
        <v>0</v>
      </c>
      <c r="AC103" s="65">
        <f>+K103-S103-AA103</f>
        <v>0</v>
      </c>
      <c r="AE103" s="65">
        <f t="shared" si="15"/>
        <v>0</v>
      </c>
      <c r="AG103" s="80" t="s">
        <v>393</v>
      </c>
      <c r="AH103" s="65" t="str">
        <f t="shared" si="18"/>
        <v>Mercer County Educ Srv Ctr (CASH)</v>
      </c>
      <c r="AI103" s="65" t="str">
        <f>'St of Act-Rev'!A103</f>
        <v>Mercer County Educ Srv Ctr (CASH)</v>
      </c>
      <c r="AJ103" s="65" t="b">
        <f t="shared" si="19"/>
        <v>1</v>
      </c>
      <c r="AK103" s="65" t="str">
        <f>'St of Act-Exp'!A103</f>
        <v>Mercer County Educ Srv Ctr (CASH)</v>
      </c>
      <c r="AL103" s="65" t="b">
        <f t="shared" si="16"/>
        <v>1</v>
      </c>
      <c r="AN103" s="65" t="str">
        <f t="shared" si="17"/>
        <v>Mercer</v>
      </c>
      <c r="AO103" s="65" t="str">
        <f>'St of Act-Rev'!C103</f>
        <v>Mercer</v>
      </c>
      <c r="AP103" s="65" t="b">
        <f>C103='St of Act-Rev'!C103</f>
        <v>1</v>
      </c>
      <c r="AQ103" s="65" t="str">
        <f>'St of Act-Exp'!C103</f>
        <v>Mercer</v>
      </c>
      <c r="AR103" s="65" t="b">
        <f>C103='St of Act-Exp'!C103</f>
        <v>1</v>
      </c>
    </row>
    <row r="104" spans="1:44">
      <c r="A104" s="3" t="s">
        <v>395</v>
      </c>
      <c r="C104" s="3" t="s">
        <v>183</v>
      </c>
      <c r="E104" s="12">
        <v>48603</v>
      </c>
      <c r="G104" s="3">
        <f t="shared" si="22"/>
        <v>3380737</v>
      </c>
      <c r="I104" s="3">
        <f>119608+1152418</f>
        <v>1272026</v>
      </c>
      <c r="K104" s="3">
        <v>4652763</v>
      </c>
      <c r="M104" s="3">
        <f t="shared" si="23"/>
        <v>1548741</v>
      </c>
      <c r="O104" s="3">
        <v>65779</v>
      </c>
      <c r="Q104" s="3">
        <f>339643-65779</f>
        <v>273864</v>
      </c>
      <c r="S104" s="3">
        <v>1888384</v>
      </c>
      <c r="U104" s="3">
        <v>1238086</v>
      </c>
      <c r="W104" s="3">
        <f t="shared" si="24"/>
        <v>1538</v>
      </c>
      <c r="Y104" s="3">
        <v>1524755</v>
      </c>
      <c r="AA104" s="3">
        <v>2764379</v>
      </c>
      <c r="AC104" s="3">
        <f t="shared" si="14"/>
        <v>0</v>
      </c>
      <c r="AE104" s="3">
        <f t="shared" si="15"/>
        <v>0</v>
      </c>
      <c r="AH104" s="3" t="str">
        <f t="shared" si="18"/>
        <v>Miami County Educ Srv Ctr</v>
      </c>
      <c r="AI104" s="3" t="str">
        <f>'St of Act-Rev'!A104</f>
        <v>Miami County Educ Srv Ctr</v>
      </c>
      <c r="AJ104" s="3" t="b">
        <f t="shared" si="19"/>
        <v>1</v>
      </c>
      <c r="AK104" s="3" t="str">
        <f>'St of Act-Exp'!A104</f>
        <v>Miami County Educ Srv Ctr</v>
      </c>
      <c r="AL104" s="3" t="b">
        <f t="shared" si="16"/>
        <v>1</v>
      </c>
      <c r="AN104" s="3" t="str">
        <f t="shared" si="17"/>
        <v>Miami</v>
      </c>
      <c r="AO104" s="3" t="str">
        <f>'St of Act-Rev'!C104</f>
        <v>Miami</v>
      </c>
      <c r="AP104" s="3" t="b">
        <f>C104='St of Act-Rev'!C104</f>
        <v>1</v>
      </c>
      <c r="AQ104" s="3" t="str">
        <f>'St of Act-Exp'!C104</f>
        <v>Miami</v>
      </c>
      <c r="AR104" s="3" t="b">
        <f>C104='St of Act-Exp'!C104</f>
        <v>1</v>
      </c>
    </row>
    <row r="105" spans="1:44" s="65" customFormat="1" hidden="1">
      <c r="A105" s="65" t="s">
        <v>293</v>
      </c>
      <c r="C105" s="65" t="s">
        <v>193</v>
      </c>
      <c r="E105" s="76"/>
      <c r="G105" s="65">
        <f>+K105-I105</f>
        <v>0</v>
      </c>
      <c r="M105" s="65">
        <f>+S105-O105-Q105</f>
        <v>0</v>
      </c>
      <c r="W105" s="65">
        <f>AA105-Y105-U105</f>
        <v>0</v>
      </c>
      <c r="AC105" s="65">
        <f>+K105-S105-AA105</f>
        <v>0</v>
      </c>
      <c r="AE105" s="65">
        <f>+G105+I105-M105-O105-U105-W105-Y105-Q105</f>
        <v>0</v>
      </c>
      <c r="AG105" s="80" t="s">
        <v>393</v>
      </c>
      <c r="AH105" s="65" t="str">
        <f t="shared" si="18"/>
        <v>Mid-Ohio Educ Srv Ctr  (CASH)</v>
      </c>
      <c r="AI105" s="65" t="str">
        <f>'St of Act-Rev'!A105</f>
        <v>Mid-Ohio Educ Srv Ctr  (CASH)</v>
      </c>
      <c r="AJ105" s="65" t="b">
        <f t="shared" si="19"/>
        <v>1</v>
      </c>
      <c r="AK105" s="65" t="str">
        <f>'St of Act-Exp'!A105</f>
        <v>Mid-Ohio Educ Srv Ctr  (CASH)</v>
      </c>
      <c r="AL105" s="65" t="b">
        <f t="shared" si="16"/>
        <v>1</v>
      </c>
      <c r="AN105" s="65" t="str">
        <f t="shared" si="17"/>
        <v>Richland</v>
      </c>
      <c r="AO105" s="65" t="str">
        <f>'St of Act-Rev'!C105</f>
        <v>Richland</v>
      </c>
      <c r="AP105" s="65" t="b">
        <f>C105='St of Act-Rev'!C105</f>
        <v>1</v>
      </c>
      <c r="AQ105" s="65" t="str">
        <f>'St of Act-Exp'!C105</f>
        <v>Richland</v>
      </c>
      <c r="AR105" s="65" t="b">
        <f>C105='St of Act-Exp'!C105</f>
        <v>1</v>
      </c>
    </row>
    <row r="106" spans="1:44">
      <c r="A106" s="3" t="s">
        <v>398</v>
      </c>
      <c r="C106" s="3" t="s">
        <v>184</v>
      </c>
      <c r="E106" s="12">
        <v>48660</v>
      </c>
      <c r="G106" s="3">
        <f t="shared" si="22"/>
        <v>17806694</v>
      </c>
      <c r="I106" s="3">
        <f>213575+5939216</f>
        <v>6152791</v>
      </c>
      <c r="K106" s="3">
        <v>23959485</v>
      </c>
      <c r="M106" s="3">
        <f t="shared" si="23"/>
        <v>4000862</v>
      </c>
      <c r="O106" s="3">
        <v>394957</v>
      </c>
      <c r="Q106" s="3">
        <f>926701-394957</f>
        <v>531744</v>
      </c>
      <c r="S106" s="3">
        <v>4927563</v>
      </c>
      <c r="U106" s="3">
        <v>5904028</v>
      </c>
      <c r="W106" s="3">
        <f t="shared" si="24"/>
        <v>1557990</v>
      </c>
      <c r="Y106" s="3">
        <v>11569904</v>
      </c>
      <c r="AA106" s="3">
        <v>19031922</v>
      </c>
      <c r="AC106" s="3">
        <f t="shared" si="14"/>
        <v>0</v>
      </c>
      <c r="AE106" s="3">
        <f t="shared" si="15"/>
        <v>0</v>
      </c>
      <c r="AH106" s="3" t="str">
        <f t="shared" si="18"/>
        <v>Montgomery County Educ Srv Ctr</v>
      </c>
      <c r="AI106" s="3" t="str">
        <f>'St of Act-Rev'!A106</f>
        <v>Montgomery County Educ Srv Ctr</v>
      </c>
      <c r="AJ106" s="3" t="b">
        <f t="shared" si="19"/>
        <v>1</v>
      </c>
      <c r="AK106" s="3" t="str">
        <f>'St of Act-Exp'!A106</f>
        <v>Montgomery County Educ Srv Ctr</v>
      </c>
      <c r="AL106" s="3" t="b">
        <f t="shared" si="16"/>
        <v>1</v>
      </c>
      <c r="AN106" s="3" t="str">
        <f t="shared" si="17"/>
        <v>Montgomery</v>
      </c>
      <c r="AO106" s="3" t="str">
        <f>'St of Act-Rev'!C106</f>
        <v>Montgomery</v>
      </c>
      <c r="AP106" s="3" t="b">
        <f>C106='St of Act-Rev'!C106</f>
        <v>1</v>
      </c>
      <c r="AQ106" s="3" t="str">
        <f>'St of Act-Exp'!C106</f>
        <v>Montgomery</v>
      </c>
      <c r="AR106" s="3" t="b">
        <f>C106='St of Act-Exp'!C106</f>
        <v>1</v>
      </c>
    </row>
    <row r="107" spans="1:44">
      <c r="A107" s="3" t="s">
        <v>185</v>
      </c>
      <c r="C107" s="3" t="s">
        <v>186</v>
      </c>
      <c r="E107" s="12">
        <v>125252</v>
      </c>
      <c r="G107" s="3">
        <f t="shared" si="22"/>
        <v>4378466</v>
      </c>
      <c r="I107" s="3">
        <v>157555</v>
      </c>
      <c r="K107" s="3">
        <v>4536021</v>
      </c>
      <c r="M107" s="3">
        <f t="shared" si="23"/>
        <v>1480438</v>
      </c>
      <c r="O107" s="3">
        <v>74617</v>
      </c>
      <c r="Q107" s="3">
        <f>721635-74617</f>
        <v>647018</v>
      </c>
      <c r="S107" s="3">
        <v>2202073</v>
      </c>
      <c r="U107" s="3">
        <v>157555</v>
      </c>
      <c r="W107" s="3">
        <f t="shared" si="24"/>
        <v>248457</v>
      </c>
      <c r="Y107" s="3">
        <v>1927936</v>
      </c>
      <c r="AA107" s="3">
        <v>2333948</v>
      </c>
      <c r="AC107" s="3">
        <f t="shared" si="14"/>
        <v>0</v>
      </c>
      <c r="AE107" s="3">
        <f t="shared" si="15"/>
        <v>0</v>
      </c>
      <c r="AH107" s="3" t="str">
        <f t="shared" si="18"/>
        <v>Muskingum Valley Educ Srv Ctr</v>
      </c>
      <c r="AI107" s="3" t="str">
        <f>'St of Act-Rev'!A107</f>
        <v>Muskingum Valley Educ Srv Ctr</v>
      </c>
      <c r="AJ107" s="3" t="b">
        <f t="shared" si="19"/>
        <v>1</v>
      </c>
      <c r="AK107" s="3" t="str">
        <f>'St of Act-Exp'!A107</f>
        <v>Muskingum Valley Educ Srv Ctr</v>
      </c>
      <c r="AL107" s="3" t="b">
        <f t="shared" si="16"/>
        <v>1</v>
      </c>
      <c r="AN107" s="3" t="str">
        <f t="shared" si="17"/>
        <v>Muskingum</v>
      </c>
      <c r="AO107" s="3" t="str">
        <f>'St of Act-Rev'!C107</f>
        <v>Muskingum</v>
      </c>
      <c r="AP107" s="3" t="b">
        <f>C107='St of Act-Rev'!C107</f>
        <v>1</v>
      </c>
      <c r="AQ107" s="3" t="str">
        <f>'St of Act-Exp'!C107</f>
        <v>Muskingum</v>
      </c>
      <c r="AR107" s="3" t="b">
        <f>C107='St of Act-Exp'!C107</f>
        <v>1</v>
      </c>
    </row>
    <row r="108" spans="1:44">
      <c r="A108" s="3" t="s">
        <v>277</v>
      </c>
      <c r="C108" s="3" t="s">
        <v>197</v>
      </c>
      <c r="E108" s="12">
        <v>123257</v>
      </c>
      <c r="G108" s="3">
        <f t="shared" si="22"/>
        <v>3003036</v>
      </c>
      <c r="I108" s="3">
        <v>4220255</v>
      </c>
      <c r="K108" s="3">
        <v>7223291</v>
      </c>
      <c r="M108" s="3">
        <f t="shared" si="23"/>
        <v>1921674</v>
      </c>
      <c r="O108" s="3">
        <v>129572</v>
      </c>
      <c r="Q108" s="3">
        <f>4338067-129572</f>
        <v>4208495</v>
      </c>
      <c r="S108" s="3">
        <v>6259741</v>
      </c>
      <c r="U108" s="3">
        <v>690255</v>
      </c>
      <c r="W108" s="3">
        <f t="shared" si="24"/>
        <v>79700</v>
      </c>
      <c r="Y108" s="3">
        <v>193595</v>
      </c>
      <c r="AA108" s="3">
        <v>963550</v>
      </c>
      <c r="AC108" s="3">
        <f t="shared" si="14"/>
        <v>0</v>
      </c>
      <c r="AE108" s="3">
        <f t="shared" si="15"/>
        <v>0</v>
      </c>
      <c r="AH108" s="3" t="str">
        <f t="shared" si="18"/>
        <v>North Central Ohio Educ Srv Ctr</v>
      </c>
      <c r="AI108" s="3" t="str">
        <f>'St of Act-Rev'!A108</f>
        <v>North Central Ohio Educ Srv Ctr</v>
      </c>
      <c r="AJ108" s="3" t="b">
        <f t="shared" si="19"/>
        <v>1</v>
      </c>
      <c r="AK108" s="3" t="str">
        <f>'St of Act-Exp'!A108</f>
        <v>North Central Ohio Educ Srv Ctr</v>
      </c>
      <c r="AL108" s="3" t="b">
        <f t="shared" si="16"/>
        <v>1</v>
      </c>
      <c r="AN108" s="3" t="str">
        <f t="shared" si="17"/>
        <v>Seneca</v>
      </c>
      <c r="AO108" s="3" t="str">
        <f>'St of Act-Rev'!C108</f>
        <v>Seneca</v>
      </c>
      <c r="AP108" s="3" t="b">
        <f>C108='St of Act-Rev'!C108</f>
        <v>1</v>
      </c>
      <c r="AQ108" s="3" t="str">
        <f>'St of Act-Exp'!C108</f>
        <v>Seneca</v>
      </c>
      <c r="AR108" s="3" t="b">
        <f>C108='St of Act-Exp'!C108</f>
        <v>1</v>
      </c>
    </row>
    <row r="109" spans="1:44">
      <c r="A109" s="16" t="s">
        <v>340</v>
      </c>
      <c r="B109" s="16"/>
      <c r="C109" s="16" t="s">
        <v>163</v>
      </c>
      <c r="G109" s="3">
        <f t="shared" ref="G109" si="25">+K109-I109</f>
        <v>7472931</v>
      </c>
      <c r="I109" s="3">
        <v>154111</v>
      </c>
      <c r="K109" s="3">
        <v>7627042</v>
      </c>
      <c r="M109" s="3">
        <f t="shared" ref="M109" si="26">+S109-O109-Q109</f>
        <v>2016762</v>
      </c>
      <c r="O109" s="3">
        <v>282442</v>
      </c>
      <c r="Q109" s="3">
        <f>1587581-282442</f>
        <v>1305139</v>
      </c>
      <c r="S109" s="3">
        <v>3604343</v>
      </c>
      <c r="U109" s="3">
        <v>154111</v>
      </c>
      <c r="W109" s="3">
        <f t="shared" ref="W109" si="27">AA109-Y109-U109</f>
        <v>135280</v>
      </c>
      <c r="Y109" s="3">
        <v>3733308</v>
      </c>
      <c r="AA109" s="3">
        <v>4022699</v>
      </c>
      <c r="AC109" s="3">
        <f t="shared" ref="AC109" si="28">+K109-S109-AA109</f>
        <v>0</v>
      </c>
      <c r="AE109" s="3">
        <f t="shared" ref="AE109:AE110" si="29">+G109+I109-M109-O109-U109-W109-Y109-Q109</f>
        <v>0</v>
      </c>
      <c r="AH109" s="3" t="str">
        <f t="shared" si="18"/>
        <v>North Point Educ Srv Ctr</v>
      </c>
      <c r="AI109" s="3" t="str">
        <f>'St of Act-Rev'!A109</f>
        <v>North Point Educ Srv Ctr</v>
      </c>
      <c r="AJ109" s="3" t="b">
        <f t="shared" si="19"/>
        <v>1</v>
      </c>
      <c r="AK109" s="3" t="str">
        <f>'St of Act-Exp'!A109</f>
        <v>North Point Educ Srv Ctr</v>
      </c>
      <c r="AL109" s="3" t="b">
        <f t="shared" si="16"/>
        <v>1</v>
      </c>
      <c r="AN109" s="3" t="str">
        <f t="shared" si="17"/>
        <v>Erie</v>
      </c>
      <c r="AO109" s="3" t="str">
        <f>'St of Act-Rev'!C109</f>
        <v>Erie</v>
      </c>
      <c r="AP109" s="3" t="b">
        <f>C109='St of Act-Rev'!C109</f>
        <v>1</v>
      </c>
      <c r="AQ109" s="3" t="str">
        <f>'St of Act-Exp'!C109</f>
        <v>Erie</v>
      </c>
      <c r="AR109" s="3" t="b">
        <f>C109='St of Act-Exp'!C109</f>
        <v>1</v>
      </c>
    </row>
    <row r="110" spans="1:44">
      <c r="A110" s="3" t="s">
        <v>166</v>
      </c>
      <c r="C110" s="3" t="s">
        <v>399</v>
      </c>
      <c r="E110" s="12">
        <v>124297</v>
      </c>
      <c r="G110" s="3">
        <f t="shared" si="22"/>
        <v>3870184</v>
      </c>
      <c r="I110" s="3">
        <f>217295+6802706</f>
        <v>7020001</v>
      </c>
      <c r="K110" s="3">
        <v>10890185</v>
      </c>
      <c r="M110" s="3">
        <f t="shared" si="23"/>
        <v>2493692</v>
      </c>
      <c r="O110" s="3">
        <v>219843</v>
      </c>
      <c r="Q110" s="3">
        <f>2289678-219843</f>
        <v>2069835</v>
      </c>
      <c r="S110" s="3">
        <v>4783370</v>
      </c>
      <c r="U110" s="3">
        <v>5879939</v>
      </c>
      <c r="W110" s="3">
        <f t="shared" si="24"/>
        <v>316030</v>
      </c>
      <c r="Y110" s="3">
        <v>-89154</v>
      </c>
      <c r="AA110" s="3">
        <v>6106815</v>
      </c>
      <c r="AC110" s="3">
        <f t="shared" si="14"/>
        <v>0</v>
      </c>
      <c r="AE110" s="3">
        <f t="shared" si="29"/>
        <v>0</v>
      </c>
      <c r="AG110" s="3" t="s">
        <v>400</v>
      </c>
      <c r="AH110" s="3" t="str">
        <f t="shared" si="18"/>
        <v>Northwest Ohio Educ Srv Ctr</v>
      </c>
      <c r="AI110" s="3" t="str">
        <f>'St of Act-Rev'!A110</f>
        <v>Northwest Ohio Educ Srv Ctr</v>
      </c>
      <c r="AJ110" s="3" t="b">
        <f t="shared" si="19"/>
        <v>1</v>
      </c>
      <c r="AK110" s="3" t="str">
        <f>'St of Act-Exp'!A110</f>
        <v>Northwest Ohio Educ Srv Ctr</v>
      </c>
      <c r="AL110" s="3" t="b">
        <f t="shared" si="16"/>
        <v>1</v>
      </c>
      <c r="AN110" s="3" t="str">
        <f t="shared" si="17"/>
        <v>Fulton</v>
      </c>
      <c r="AO110" s="3" t="str">
        <f>'St of Act-Rev'!C110</f>
        <v>Fulton</v>
      </c>
      <c r="AP110" s="3" t="b">
        <f>C110='St of Act-Rev'!C110</f>
        <v>1</v>
      </c>
      <c r="AQ110" s="3" t="str">
        <f>'St of Act-Exp'!C110</f>
        <v>Fulton</v>
      </c>
      <c r="AR110" s="3" t="b">
        <f>C110='St of Act-Exp'!C110</f>
        <v>1</v>
      </c>
    </row>
    <row r="111" spans="1:44">
      <c r="A111" s="3" t="s">
        <v>364</v>
      </c>
      <c r="C111" s="3" t="s">
        <v>271</v>
      </c>
      <c r="E111" s="12">
        <v>123521</v>
      </c>
      <c r="G111" s="3">
        <f t="shared" si="22"/>
        <v>2290564</v>
      </c>
      <c r="I111" s="3">
        <f>100344+365041</f>
        <v>465385</v>
      </c>
      <c r="K111" s="3">
        <v>2755949</v>
      </c>
      <c r="M111" s="3">
        <f t="shared" si="23"/>
        <v>1119093</v>
      </c>
      <c r="O111" s="3">
        <v>115206</v>
      </c>
      <c r="Q111" s="3">
        <f>431118-115206</f>
        <v>315912</v>
      </c>
      <c r="S111" s="3">
        <v>1550211</v>
      </c>
      <c r="U111" s="3">
        <v>449329</v>
      </c>
      <c r="W111" s="3">
        <f t="shared" si="24"/>
        <v>40851</v>
      </c>
      <c r="Y111" s="3">
        <v>715558</v>
      </c>
      <c r="AA111" s="3">
        <v>1205738</v>
      </c>
      <c r="AC111" s="3">
        <f>+K111-S111-AA111</f>
        <v>0</v>
      </c>
      <c r="AE111" s="3">
        <f t="shared" si="15"/>
        <v>0</v>
      </c>
      <c r="AH111" s="3" t="str">
        <f t="shared" si="18"/>
        <v>Ohio Valley Educ Srv Ctr</v>
      </c>
      <c r="AI111" s="3" t="str">
        <f>'St of Act-Rev'!A111</f>
        <v>Ohio Valley Educ Srv Ctr</v>
      </c>
      <c r="AJ111" s="3" t="b">
        <f t="shared" si="19"/>
        <v>1</v>
      </c>
      <c r="AK111" s="3" t="str">
        <f>'St of Act-Exp'!A111</f>
        <v>Ohio Valley Educ Srv Ctr</v>
      </c>
      <c r="AL111" s="3" t="b">
        <f t="shared" si="16"/>
        <v>1</v>
      </c>
      <c r="AN111" s="3" t="str">
        <f t="shared" si="17"/>
        <v>Guernsey</v>
      </c>
      <c r="AO111" s="3" t="str">
        <f>'St of Act-Rev'!C111</f>
        <v>Guernsey</v>
      </c>
      <c r="AP111" s="3" t="b">
        <f>C111='St of Act-Rev'!C111</f>
        <v>1</v>
      </c>
      <c r="AQ111" s="3" t="str">
        <f>'St of Act-Exp'!C111</f>
        <v>Guernsey</v>
      </c>
      <c r="AR111" s="3" t="b">
        <f>C111='St of Act-Exp'!C111</f>
        <v>1</v>
      </c>
    </row>
    <row r="112" spans="1:44">
      <c r="A112" s="3" t="s">
        <v>187</v>
      </c>
      <c r="C112" s="3" t="s">
        <v>188</v>
      </c>
      <c r="E112" s="12">
        <v>125674</v>
      </c>
      <c r="G112" s="3">
        <f t="shared" si="22"/>
        <v>1553559</v>
      </c>
      <c r="I112" s="3">
        <f>193898+279699</f>
        <v>473597</v>
      </c>
      <c r="K112" s="3">
        <v>2027156</v>
      </c>
      <c r="M112" s="3">
        <f t="shared" si="23"/>
        <v>1009734</v>
      </c>
      <c r="O112" s="3">
        <v>30450</v>
      </c>
      <c r="Q112" s="3">
        <f>178763-30450</f>
        <v>148313</v>
      </c>
      <c r="S112" s="3">
        <v>1188497</v>
      </c>
      <c r="U112" s="3">
        <v>445178</v>
      </c>
      <c r="W112" s="3">
        <f t="shared" si="24"/>
        <v>121597</v>
      </c>
      <c r="Y112" s="3">
        <v>271884</v>
      </c>
      <c r="AA112" s="3">
        <v>838659</v>
      </c>
      <c r="AC112" s="3">
        <f t="shared" si="14"/>
        <v>0</v>
      </c>
      <c r="AE112" s="3">
        <f t="shared" si="15"/>
        <v>0</v>
      </c>
      <c r="AG112" s="3" t="s">
        <v>406</v>
      </c>
      <c r="AH112" s="3" t="str">
        <f t="shared" si="18"/>
        <v>Perry-Hocking Educ Srv Ctr</v>
      </c>
      <c r="AI112" s="3" t="str">
        <f>'St of Act-Rev'!A112</f>
        <v>Perry-Hocking Educ Srv Ctr</v>
      </c>
      <c r="AJ112" s="3" t="b">
        <f t="shared" si="19"/>
        <v>1</v>
      </c>
      <c r="AK112" s="3" t="str">
        <f>'St of Act-Exp'!A112</f>
        <v>Perry-Hocking Educ Srv Ctr</v>
      </c>
      <c r="AL112" s="3" t="b">
        <f t="shared" si="16"/>
        <v>1</v>
      </c>
      <c r="AN112" s="3" t="str">
        <f t="shared" si="17"/>
        <v>Perry</v>
      </c>
      <c r="AO112" s="3" t="str">
        <f>'St of Act-Rev'!C112</f>
        <v>Perry</v>
      </c>
      <c r="AP112" s="3" t="b">
        <f>C112='St of Act-Rev'!C112</f>
        <v>1</v>
      </c>
      <c r="AQ112" s="3" t="str">
        <f>'St of Act-Exp'!C112</f>
        <v>Perry</v>
      </c>
      <c r="AR112" s="3" t="b">
        <f>C112='St of Act-Exp'!C112</f>
        <v>1</v>
      </c>
    </row>
    <row r="113" spans="1:44">
      <c r="A113" s="3" t="s">
        <v>421</v>
      </c>
      <c r="C113" s="3" t="s">
        <v>189</v>
      </c>
      <c r="E113" s="12">
        <v>49072</v>
      </c>
      <c r="G113" s="3">
        <f t="shared" si="22"/>
        <v>921949</v>
      </c>
      <c r="I113" s="3">
        <f>66900+577321</f>
        <v>644221</v>
      </c>
      <c r="K113" s="3">
        <v>1566170</v>
      </c>
      <c r="M113" s="3">
        <f t="shared" si="23"/>
        <v>381271</v>
      </c>
      <c r="O113" s="3">
        <v>1749</v>
      </c>
      <c r="Q113" s="3">
        <f>204908-1749</f>
        <v>203159</v>
      </c>
      <c r="S113" s="3">
        <v>586179</v>
      </c>
      <c r="U113" s="3">
        <v>644221</v>
      </c>
      <c r="W113" s="3">
        <f t="shared" si="24"/>
        <v>76395</v>
      </c>
      <c r="Y113" s="3">
        <v>259375</v>
      </c>
      <c r="AA113" s="3">
        <v>979991</v>
      </c>
      <c r="AC113" s="3">
        <f t="shared" si="14"/>
        <v>0</v>
      </c>
      <c r="AE113" s="3">
        <f t="shared" si="15"/>
        <v>0</v>
      </c>
      <c r="AG113" s="32"/>
      <c r="AH113" s="3" t="str">
        <f t="shared" si="18"/>
        <v>Pickaway County Educ Srv Ctr</v>
      </c>
      <c r="AI113" s="3" t="str">
        <f>'St of Act-Rev'!A113</f>
        <v>Pickaway County Educ Srv Ctr</v>
      </c>
      <c r="AJ113" s="3" t="b">
        <f t="shared" si="19"/>
        <v>1</v>
      </c>
      <c r="AK113" s="3" t="str">
        <f>'St of Act-Exp'!A113</f>
        <v>Pickaway County Educ Srv Ctr</v>
      </c>
      <c r="AL113" s="3" t="b">
        <f t="shared" si="16"/>
        <v>1</v>
      </c>
      <c r="AN113" s="3" t="str">
        <f t="shared" si="17"/>
        <v>Pickaway</v>
      </c>
      <c r="AO113" s="3" t="str">
        <f>'St of Act-Rev'!C113</f>
        <v>Pickaway</v>
      </c>
      <c r="AP113" s="3" t="b">
        <f>C113='St of Act-Rev'!C113</f>
        <v>1</v>
      </c>
      <c r="AQ113" s="3" t="str">
        <f>'St of Act-Exp'!C113</f>
        <v>Pickaway</v>
      </c>
      <c r="AR113" s="3" t="b">
        <f>C113='St of Act-Exp'!C113</f>
        <v>1</v>
      </c>
    </row>
    <row r="114" spans="1:44">
      <c r="A114" s="3" t="s">
        <v>408</v>
      </c>
      <c r="C114" s="3" t="s">
        <v>190</v>
      </c>
      <c r="E114" s="12">
        <v>49163</v>
      </c>
      <c r="G114" s="3">
        <f t="shared" si="22"/>
        <v>1663082</v>
      </c>
      <c r="I114" s="3">
        <v>100370</v>
      </c>
      <c r="K114" s="3">
        <v>1763452</v>
      </c>
      <c r="M114" s="3">
        <f t="shared" si="23"/>
        <v>968177</v>
      </c>
      <c r="O114" s="3">
        <v>11043</v>
      </c>
      <c r="Q114" s="3">
        <f>77636-11043</f>
        <v>66593</v>
      </c>
      <c r="S114" s="3">
        <v>1045813</v>
      </c>
      <c r="U114" s="3">
        <v>100370</v>
      </c>
      <c r="W114" s="3">
        <f t="shared" si="24"/>
        <v>792714</v>
      </c>
      <c r="Y114" s="3">
        <v>-175445</v>
      </c>
      <c r="AA114" s="3">
        <v>717639</v>
      </c>
      <c r="AC114" s="3">
        <f t="shared" si="14"/>
        <v>0</v>
      </c>
      <c r="AE114" s="3">
        <f t="shared" si="15"/>
        <v>0</v>
      </c>
      <c r="AG114" s="32"/>
      <c r="AH114" s="3" t="str">
        <f t="shared" si="18"/>
        <v>Portage County Educ Srv Ctr</v>
      </c>
      <c r="AI114" s="3" t="str">
        <f>'St of Act-Rev'!A114</f>
        <v>Portage County Educ Srv Ctr</v>
      </c>
      <c r="AJ114" s="3" t="b">
        <f t="shared" si="19"/>
        <v>1</v>
      </c>
      <c r="AK114" s="3" t="str">
        <f>'St of Act-Exp'!A114</f>
        <v>Portage County Educ Srv Ctr</v>
      </c>
      <c r="AL114" s="3" t="b">
        <f t="shared" si="16"/>
        <v>1</v>
      </c>
      <c r="AN114" s="3" t="str">
        <f t="shared" si="17"/>
        <v>Portage</v>
      </c>
      <c r="AO114" s="3" t="str">
        <f>'St of Act-Rev'!C114</f>
        <v>Portage</v>
      </c>
      <c r="AP114" s="3" t="b">
        <f>C114='St of Act-Rev'!C114</f>
        <v>1</v>
      </c>
      <c r="AQ114" s="3" t="str">
        <f>'St of Act-Exp'!C114</f>
        <v>Portage</v>
      </c>
      <c r="AR114" s="3" t="b">
        <f>C114='St of Act-Exp'!C114</f>
        <v>1</v>
      </c>
    </row>
    <row r="115" spans="1:44" s="65" customFormat="1" hidden="1">
      <c r="A115" s="66" t="s">
        <v>409</v>
      </c>
      <c r="C115" s="65" t="s">
        <v>191</v>
      </c>
      <c r="E115" s="76">
        <v>49254</v>
      </c>
      <c r="G115" s="65">
        <f t="shared" si="22"/>
        <v>0</v>
      </c>
      <c r="M115" s="65">
        <f t="shared" si="23"/>
        <v>0</v>
      </c>
      <c r="W115" s="65">
        <f t="shared" si="24"/>
        <v>0</v>
      </c>
      <c r="AC115" s="65">
        <f t="shared" si="14"/>
        <v>0</v>
      </c>
      <c r="AE115" s="65">
        <f t="shared" si="15"/>
        <v>0</v>
      </c>
      <c r="AG115" s="80" t="s">
        <v>410</v>
      </c>
      <c r="AH115" s="65" t="str">
        <f t="shared" si="18"/>
        <v>Preble County Educ Srv Ctr (CASH)</v>
      </c>
      <c r="AI115" s="65" t="str">
        <f>'St of Act-Rev'!A115</f>
        <v>Preble County Educ Srv Ctr (CASH)</v>
      </c>
      <c r="AJ115" s="65" t="b">
        <f t="shared" si="19"/>
        <v>1</v>
      </c>
      <c r="AK115" s="65" t="str">
        <f>'St of Act-Exp'!A115</f>
        <v>Preble County Educ Srv Ctr (CASH)</v>
      </c>
      <c r="AL115" s="65" t="b">
        <f t="shared" si="16"/>
        <v>1</v>
      </c>
      <c r="AN115" s="65" t="str">
        <f t="shared" si="17"/>
        <v>Preble</v>
      </c>
      <c r="AO115" s="65" t="str">
        <f>'St of Act-Rev'!C115</f>
        <v>Preble</v>
      </c>
      <c r="AP115" s="65" t="b">
        <f>C115='St of Act-Rev'!C115</f>
        <v>1</v>
      </c>
      <c r="AQ115" s="65" t="str">
        <f>'St of Act-Exp'!C115</f>
        <v>Preble</v>
      </c>
      <c r="AR115" s="65" t="b">
        <f>C115='St of Act-Exp'!C115</f>
        <v>1</v>
      </c>
    </row>
    <row r="116" spans="1:44">
      <c r="A116" s="3" t="s">
        <v>411</v>
      </c>
      <c r="C116" s="3" t="s">
        <v>192</v>
      </c>
      <c r="E116" s="12">
        <v>49304</v>
      </c>
      <c r="G116" s="3">
        <f t="shared" si="22"/>
        <v>2424606</v>
      </c>
      <c r="I116" s="3">
        <v>3982419</v>
      </c>
      <c r="K116" s="3">
        <v>6407025</v>
      </c>
      <c r="M116" s="3">
        <f t="shared" si="23"/>
        <v>661724</v>
      </c>
      <c r="O116" s="3">
        <v>162153</v>
      </c>
      <c r="Q116" s="3">
        <f>1133634-162153</f>
        <v>971481</v>
      </c>
      <c r="S116" s="3">
        <v>1795358</v>
      </c>
      <c r="U116" s="3">
        <v>3327871</v>
      </c>
      <c r="W116" s="3">
        <f t="shared" si="24"/>
        <v>802257</v>
      </c>
      <c r="Y116" s="3">
        <v>481539</v>
      </c>
      <c r="AA116" s="3">
        <v>4611667</v>
      </c>
      <c r="AC116" s="3">
        <f t="shared" si="14"/>
        <v>0</v>
      </c>
      <c r="AE116" s="3">
        <f t="shared" si="15"/>
        <v>0</v>
      </c>
      <c r="AH116" s="3" t="str">
        <f t="shared" si="18"/>
        <v>Putnam County Educ Srv Ctr</v>
      </c>
      <c r="AI116" s="3" t="str">
        <f>'St of Act-Rev'!A116</f>
        <v>Putnam County Educ Srv Ctr</v>
      </c>
      <c r="AJ116" s="3" t="b">
        <f t="shared" si="19"/>
        <v>1</v>
      </c>
      <c r="AK116" s="3" t="str">
        <f>'St of Act-Exp'!A116</f>
        <v>Putnam County Educ Srv Ctr</v>
      </c>
      <c r="AL116" s="3" t="b">
        <f t="shared" si="16"/>
        <v>1</v>
      </c>
      <c r="AN116" s="3" t="str">
        <f t="shared" si="17"/>
        <v>Putnam</v>
      </c>
      <c r="AO116" s="3" t="str">
        <f>'St of Act-Rev'!C116</f>
        <v>Putnam</v>
      </c>
      <c r="AP116" s="3" t="b">
        <f>C116='St of Act-Rev'!C116</f>
        <v>1</v>
      </c>
      <c r="AQ116" s="3" t="str">
        <f>'St of Act-Exp'!C116</f>
        <v>Putnam</v>
      </c>
      <c r="AR116" s="3" t="b">
        <f>C116='St of Act-Exp'!C116</f>
        <v>1</v>
      </c>
    </row>
    <row r="117" spans="1:44">
      <c r="A117" s="3" t="s">
        <v>412</v>
      </c>
      <c r="C117" s="3" t="s">
        <v>194</v>
      </c>
      <c r="E117" s="12">
        <v>138222</v>
      </c>
      <c r="G117" s="3">
        <f t="shared" si="22"/>
        <v>4689633</v>
      </c>
      <c r="I117" s="3">
        <v>144517</v>
      </c>
      <c r="K117" s="3">
        <v>4834150</v>
      </c>
      <c r="M117" s="3">
        <f t="shared" si="23"/>
        <v>1157806</v>
      </c>
      <c r="O117" s="3">
        <v>60705</v>
      </c>
      <c r="Q117" s="3">
        <f>389743-60705</f>
        <v>329038</v>
      </c>
      <c r="S117" s="3">
        <v>1547549</v>
      </c>
      <c r="U117" s="3">
        <v>144517</v>
      </c>
      <c r="W117" s="3">
        <f t="shared" si="24"/>
        <v>165152</v>
      </c>
      <c r="Y117" s="3">
        <v>2976932</v>
      </c>
      <c r="AA117" s="3">
        <v>3286601</v>
      </c>
      <c r="AC117" s="3">
        <f t="shared" si="14"/>
        <v>0</v>
      </c>
      <c r="AE117" s="3">
        <f t="shared" si="15"/>
        <v>0</v>
      </c>
      <c r="AH117" s="3" t="str">
        <f t="shared" si="18"/>
        <v>Ross-Pike Educ Srv District</v>
      </c>
      <c r="AI117" s="3" t="str">
        <f>'St of Act-Rev'!A117</f>
        <v>Ross-Pike Educ Srv District</v>
      </c>
      <c r="AJ117" s="3" t="b">
        <f t="shared" si="19"/>
        <v>1</v>
      </c>
      <c r="AK117" s="3" t="str">
        <f>'St of Act-Exp'!A117</f>
        <v>Ross-Pike Educ Srv District</v>
      </c>
      <c r="AL117" s="3" t="b">
        <f t="shared" si="16"/>
        <v>1</v>
      </c>
      <c r="AN117" s="3" t="str">
        <f t="shared" si="17"/>
        <v>Ross</v>
      </c>
      <c r="AO117" s="3" t="str">
        <f>'St of Act-Rev'!C117</f>
        <v>Ross</v>
      </c>
      <c r="AP117" s="3" t="b">
        <f>C117='St of Act-Rev'!C117</f>
        <v>1</v>
      </c>
      <c r="AQ117" s="3" t="str">
        <f>'St of Act-Exp'!C117</f>
        <v>Ross</v>
      </c>
      <c r="AR117" s="3" t="b">
        <f>C117='St of Act-Exp'!C117</f>
        <v>1</v>
      </c>
    </row>
    <row r="118" spans="1:44" s="65" customFormat="1" hidden="1">
      <c r="A118" s="65" t="s">
        <v>341</v>
      </c>
      <c r="C118" s="65" t="s">
        <v>195</v>
      </c>
      <c r="E118" s="76">
        <v>49551</v>
      </c>
      <c r="G118" s="65">
        <f t="shared" si="22"/>
        <v>0</v>
      </c>
      <c r="M118" s="65">
        <f t="shared" si="23"/>
        <v>0</v>
      </c>
      <c r="W118" s="65">
        <f t="shared" si="24"/>
        <v>0</v>
      </c>
      <c r="AC118" s="65">
        <f t="shared" si="14"/>
        <v>0</v>
      </c>
      <c r="AE118" s="65">
        <f>+G118+I118-M118-O118-U118-W118-Y118-Q118</f>
        <v>0</v>
      </c>
      <c r="AG118" s="65" t="s">
        <v>321</v>
      </c>
      <c r="AH118" s="65" t="str">
        <f t="shared" si="18"/>
        <v>Sandusky Educ Srv Ctr - merged with two other ESC</v>
      </c>
      <c r="AI118" s="65" t="str">
        <f>'St of Act-Rev'!A118</f>
        <v>Sandusky Educ Srv Ctr - merged with two other ESC</v>
      </c>
      <c r="AJ118" s="65" t="b">
        <f t="shared" si="19"/>
        <v>1</v>
      </c>
      <c r="AK118" s="65" t="str">
        <f>'St of Act-Exp'!A118</f>
        <v>Sandusky Educ Srv Ctr - merged with two other ESC</v>
      </c>
      <c r="AL118" s="65" t="b">
        <f t="shared" si="16"/>
        <v>1</v>
      </c>
      <c r="AN118" s="65" t="str">
        <f t="shared" si="17"/>
        <v>Sandusky</v>
      </c>
      <c r="AO118" s="65" t="str">
        <f>'St of Act-Rev'!C118</f>
        <v>Sandusky</v>
      </c>
      <c r="AP118" s="65" t="b">
        <f>C118='St of Act-Rev'!C118</f>
        <v>1</v>
      </c>
      <c r="AQ118" s="65" t="str">
        <f>'St of Act-Exp'!C118</f>
        <v>Sandusky</v>
      </c>
      <c r="AR118" s="65" t="b">
        <f>C118='St of Act-Exp'!C118</f>
        <v>1</v>
      </c>
    </row>
    <row r="119" spans="1:44">
      <c r="A119" s="3" t="s">
        <v>417</v>
      </c>
      <c r="C119" s="3" t="s">
        <v>198</v>
      </c>
      <c r="E119" s="12">
        <v>49742</v>
      </c>
      <c r="G119" s="3">
        <f t="shared" si="22"/>
        <v>1421349</v>
      </c>
      <c r="I119" s="3">
        <v>215197</v>
      </c>
      <c r="K119" s="3">
        <v>1636546</v>
      </c>
      <c r="M119" s="3">
        <f t="shared" si="23"/>
        <v>631921</v>
      </c>
      <c r="O119" s="3">
        <v>53055</v>
      </c>
      <c r="Q119" s="3">
        <v>110853</v>
      </c>
      <c r="S119" s="3">
        <v>795829</v>
      </c>
      <c r="U119" s="3">
        <v>166904</v>
      </c>
      <c r="W119" s="3">
        <f t="shared" si="24"/>
        <v>340758</v>
      </c>
      <c r="Y119" s="3">
        <v>333055</v>
      </c>
      <c r="AA119" s="3">
        <v>840717</v>
      </c>
      <c r="AC119" s="3">
        <f t="shared" si="14"/>
        <v>0</v>
      </c>
      <c r="AE119" s="3">
        <f t="shared" ref="AE119:AE130" si="30">+G119+I119-M119-O119-U119-W119-Y119-Q119</f>
        <v>0</v>
      </c>
      <c r="AG119" s="32" t="s">
        <v>418</v>
      </c>
      <c r="AH119" s="3" t="str">
        <f t="shared" si="18"/>
        <v>Shelby County Educ Srv Ctr</v>
      </c>
      <c r="AI119" s="3" t="str">
        <f>'St of Act-Rev'!A119</f>
        <v>Shelby County Educ Srv Ctr</v>
      </c>
      <c r="AJ119" s="3" t="b">
        <f t="shared" si="19"/>
        <v>1</v>
      </c>
      <c r="AK119" s="3" t="str">
        <f>'St of Act-Exp'!A119</f>
        <v>Shelby County Educ Srv Ctr</v>
      </c>
      <c r="AL119" s="3" t="b">
        <f t="shared" si="16"/>
        <v>1</v>
      </c>
      <c r="AN119" s="3" t="str">
        <f t="shared" si="17"/>
        <v>Shelby</v>
      </c>
      <c r="AO119" s="3" t="str">
        <f>'St of Act-Rev'!C119</f>
        <v>Shelby</v>
      </c>
      <c r="AP119" s="3" t="b">
        <f>C119='St of Act-Rev'!C119</f>
        <v>1</v>
      </c>
      <c r="AQ119" s="3" t="str">
        <f>'St of Act-Exp'!C119</f>
        <v>Shelby</v>
      </c>
      <c r="AR119" s="3" t="b">
        <f>C119='St of Act-Exp'!C119</f>
        <v>1</v>
      </c>
    </row>
    <row r="120" spans="1:44">
      <c r="A120" s="3" t="s">
        <v>275</v>
      </c>
      <c r="C120" s="3" t="s">
        <v>196</v>
      </c>
      <c r="E120" s="12">
        <v>125658</v>
      </c>
      <c r="G120" s="3">
        <f t="shared" si="22"/>
        <v>2043831</v>
      </c>
      <c r="I120" s="3">
        <v>97948</v>
      </c>
      <c r="K120" s="3">
        <v>2141779</v>
      </c>
      <c r="M120" s="3">
        <f t="shared" si="23"/>
        <v>925302</v>
      </c>
      <c r="O120" s="3">
        <v>140569</v>
      </c>
      <c r="Q120" s="3">
        <v>227349</v>
      </c>
      <c r="S120" s="3">
        <v>1293220</v>
      </c>
      <c r="U120" s="3">
        <v>83608</v>
      </c>
      <c r="W120" s="3">
        <f t="shared" si="24"/>
        <v>201658</v>
      </c>
      <c r="Y120" s="3">
        <v>563293</v>
      </c>
      <c r="AA120" s="3">
        <v>848559</v>
      </c>
      <c r="AC120" s="3">
        <f t="shared" si="14"/>
        <v>0</v>
      </c>
      <c r="AE120" s="3">
        <f t="shared" si="30"/>
        <v>0</v>
      </c>
      <c r="AH120" s="3" t="str">
        <f t="shared" si="18"/>
        <v>South Central Ohio Educ Srv Ctr</v>
      </c>
      <c r="AI120" s="3" t="str">
        <f>'St of Act-Rev'!A120</f>
        <v>South Central Ohio Educ Srv Ctr</v>
      </c>
      <c r="AJ120" s="3" t="b">
        <f t="shared" si="19"/>
        <v>1</v>
      </c>
      <c r="AK120" s="3" t="str">
        <f>'St of Act-Exp'!A120</f>
        <v>South Central Ohio Educ Srv Ctr</v>
      </c>
      <c r="AL120" s="3" t="b">
        <f t="shared" si="16"/>
        <v>1</v>
      </c>
      <c r="AN120" s="3" t="str">
        <f t="shared" si="17"/>
        <v>Scioto</v>
      </c>
      <c r="AO120" s="3" t="str">
        <f>'St of Act-Rev'!C120</f>
        <v>Scioto</v>
      </c>
      <c r="AP120" s="3" t="b">
        <f>C120='St of Act-Rev'!C120</f>
        <v>1</v>
      </c>
      <c r="AQ120" s="3" t="str">
        <f>'St of Act-Exp'!C120</f>
        <v>Scioto</v>
      </c>
      <c r="AR120" s="3" t="b">
        <f>C120='St of Act-Exp'!C120</f>
        <v>1</v>
      </c>
    </row>
    <row r="121" spans="1:44">
      <c r="A121" s="3" t="s">
        <v>274</v>
      </c>
      <c r="C121" s="3" t="s">
        <v>158</v>
      </c>
      <c r="G121" s="3">
        <f>+K121-I121</f>
        <v>2909541</v>
      </c>
      <c r="I121" s="3">
        <f>31490+355962</f>
        <v>387452</v>
      </c>
      <c r="K121" s="3">
        <v>3296993</v>
      </c>
      <c r="M121" s="3">
        <f>+S121-O121-Q121</f>
        <v>216457</v>
      </c>
      <c r="O121" s="3">
        <v>31657</v>
      </c>
      <c r="Q121" s="3">
        <v>256027</v>
      </c>
      <c r="S121" s="3">
        <v>504141</v>
      </c>
      <c r="U121" s="3">
        <v>387452</v>
      </c>
      <c r="W121" s="3">
        <f>AA121-Y121-U121</f>
        <v>261553</v>
      </c>
      <c r="Y121" s="3">
        <v>2143847</v>
      </c>
      <c r="AA121" s="3">
        <v>2792852</v>
      </c>
      <c r="AC121" s="3">
        <f>+K121-S121-AA121</f>
        <v>0</v>
      </c>
      <c r="AE121" s="3">
        <f>+G121+I121-M121-O121-U121-W121-Y121-Q121</f>
        <v>0</v>
      </c>
      <c r="AG121" s="19"/>
      <c r="AH121" s="3" t="str">
        <f t="shared" si="18"/>
        <v>Southern Ohio Educ Srv Ctr</v>
      </c>
      <c r="AI121" s="3" t="str">
        <f>'St of Act-Rev'!A121</f>
        <v>Southern Ohio Educ Srv Ctr</v>
      </c>
      <c r="AJ121" s="3" t="b">
        <f t="shared" si="19"/>
        <v>1</v>
      </c>
      <c r="AK121" s="3" t="str">
        <f>'St of Act-Exp'!A121</f>
        <v>Southern Ohio Educ Srv Ctr</v>
      </c>
      <c r="AL121" s="3" t="b">
        <f t="shared" si="16"/>
        <v>1</v>
      </c>
      <c r="AN121" s="3" t="str">
        <f t="shared" si="17"/>
        <v>Clinton</v>
      </c>
      <c r="AO121" s="3" t="str">
        <f>'St of Act-Rev'!C121</f>
        <v>Clinton</v>
      </c>
      <c r="AP121" s="3" t="b">
        <f>C121='St of Act-Rev'!C121</f>
        <v>1</v>
      </c>
      <c r="AQ121" s="3" t="str">
        <f>'St of Act-Exp'!C121</f>
        <v>Clinton</v>
      </c>
      <c r="AR121" s="3" t="b">
        <f>C121='St of Act-Exp'!C121</f>
        <v>1</v>
      </c>
    </row>
    <row r="122" spans="1:44">
      <c r="A122" s="16" t="s">
        <v>419</v>
      </c>
      <c r="C122" s="3" t="s">
        <v>199</v>
      </c>
      <c r="E122" s="12">
        <v>49825</v>
      </c>
      <c r="G122" s="3">
        <f t="shared" si="22"/>
        <v>4266245</v>
      </c>
      <c r="I122" s="3">
        <v>1396556</v>
      </c>
      <c r="K122" s="3">
        <v>5662801</v>
      </c>
      <c r="M122" s="3">
        <f t="shared" si="23"/>
        <v>2603519</v>
      </c>
      <c r="O122" s="3">
        <v>66076</v>
      </c>
      <c r="Q122" s="3">
        <v>866435</v>
      </c>
      <c r="S122" s="3">
        <v>3536030</v>
      </c>
      <c r="U122" s="3">
        <v>1396556</v>
      </c>
      <c r="W122" s="3">
        <f t="shared" si="24"/>
        <v>383290</v>
      </c>
      <c r="Y122" s="3">
        <v>346925</v>
      </c>
      <c r="AA122" s="3">
        <v>2126771</v>
      </c>
      <c r="AC122" s="3">
        <f t="shared" si="14"/>
        <v>0</v>
      </c>
      <c r="AE122" s="3">
        <f t="shared" si="30"/>
        <v>0</v>
      </c>
      <c r="AG122" s="30"/>
      <c r="AH122" s="3" t="str">
        <f t="shared" si="18"/>
        <v xml:space="preserve">Stark County Educ Srv Ctr  </v>
      </c>
      <c r="AI122" s="3" t="str">
        <f>'St of Act-Rev'!A122</f>
        <v xml:space="preserve">Stark County Educ Srv Ctr  </v>
      </c>
      <c r="AJ122" s="3" t="b">
        <f t="shared" si="19"/>
        <v>1</v>
      </c>
      <c r="AK122" s="3" t="str">
        <f>'St of Act-Exp'!A122</f>
        <v xml:space="preserve">Stark County Educ Srv Ctr  </v>
      </c>
      <c r="AL122" s="3" t="b">
        <f t="shared" si="16"/>
        <v>1</v>
      </c>
      <c r="AN122" s="3" t="str">
        <f t="shared" si="17"/>
        <v>Stark</v>
      </c>
      <c r="AO122" s="3" t="str">
        <f>'St of Act-Rev'!C122</f>
        <v>Stark</v>
      </c>
      <c r="AP122" s="3" t="b">
        <f>C122='St of Act-Rev'!C122</f>
        <v>1</v>
      </c>
      <c r="AQ122" s="3" t="str">
        <f>'St of Act-Exp'!C122</f>
        <v>Stark</v>
      </c>
      <c r="AR122" s="3" t="b">
        <f>C122='St of Act-Exp'!C122</f>
        <v>1</v>
      </c>
    </row>
    <row r="123" spans="1:44">
      <c r="A123" s="3" t="s">
        <v>420</v>
      </c>
      <c r="C123" s="3" t="s">
        <v>200</v>
      </c>
      <c r="E123" s="12">
        <v>49965</v>
      </c>
      <c r="G123" s="3">
        <f t="shared" si="22"/>
        <v>9029861</v>
      </c>
      <c r="I123" s="3">
        <f>207778+1777537</f>
        <v>1985315</v>
      </c>
      <c r="K123" s="3">
        <v>11015176</v>
      </c>
      <c r="M123" s="3">
        <f t="shared" si="23"/>
        <v>1895266</v>
      </c>
      <c r="O123" s="3">
        <v>96877</v>
      </c>
      <c r="Q123" s="3">
        <v>1103072</v>
      </c>
      <c r="S123" s="3">
        <v>3095215</v>
      </c>
      <c r="U123" s="3">
        <v>947583</v>
      </c>
      <c r="W123" s="3">
        <f t="shared" si="24"/>
        <v>377913</v>
      </c>
      <c r="Y123" s="3">
        <v>6594465</v>
      </c>
      <c r="AA123" s="3">
        <v>7919961</v>
      </c>
      <c r="AC123" s="3">
        <f t="shared" si="14"/>
        <v>0</v>
      </c>
      <c r="AE123" s="3">
        <f t="shared" si="30"/>
        <v>0</v>
      </c>
      <c r="AG123" s="32" t="s">
        <v>305</v>
      </c>
      <c r="AH123" s="3" t="str">
        <f t="shared" si="18"/>
        <v>Summit County Educ Srv Ctr</v>
      </c>
      <c r="AI123" s="3" t="str">
        <f>'St of Act-Rev'!A123</f>
        <v>Summit County Educ Srv Ctr</v>
      </c>
      <c r="AJ123" s="3" t="b">
        <f t="shared" si="19"/>
        <v>1</v>
      </c>
      <c r="AK123" s="3" t="str">
        <f>'St of Act-Exp'!A123</f>
        <v>Summit County Educ Srv Ctr</v>
      </c>
      <c r="AL123" s="3" t="b">
        <f t="shared" si="16"/>
        <v>1</v>
      </c>
      <c r="AN123" s="3" t="str">
        <f t="shared" si="17"/>
        <v>Summit</v>
      </c>
      <c r="AO123" s="3" t="str">
        <f>'St of Act-Rev'!C123</f>
        <v>Summit</v>
      </c>
      <c r="AP123" s="3" t="b">
        <f>C123='St of Act-Rev'!C123</f>
        <v>1</v>
      </c>
      <c r="AQ123" s="3" t="str">
        <f>'St of Act-Exp'!C123</f>
        <v>Summit</v>
      </c>
      <c r="AR123" s="3" t="b">
        <f>C123='St of Act-Exp'!C123</f>
        <v>1</v>
      </c>
    </row>
    <row r="124" spans="1:44">
      <c r="A124" s="3" t="s">
        <v>207</v>
      </c>
      <c r="C124" s="3" t="s">
        <v>208</v>
      </c>
      <c r="E124" s="12">
        <v>50526</v>
      </c>
      <c r="G124" s="3">
        <f t="shared" si="22"/>
        <v>4749863</v>
      </c>
      <c r="I124" s="3">
        <f>77981+398314</f>
        <v>476295</v>
      </c>
      <c r="K124" s="3">
        <v>5226158</v>
      </c>
      <c r="M124" s="3">
        <f t="shared" si="23"/>
        <v>1725862</v>
      </c>
      <c r="O124" s="3">
        <v>261014</v>
      </c>
      <c r="Q124" s="3">
        <v>229629</v>
      </c>
      <c r="S124" s="3">
        <v>2216505</v>
      </c>
      <c r="U124" s="3">
        <v>476295</v>
      </c>
      <c r="W124" s="3">
        <f t="shared" si="24"/>
        <v>23570</v>
      </c>
      <c r="Y124" s="3">
        <v>2509788</v>
      </c>
      <c r="AA124" s="3">
        <v>3009653</v>
      </c>
      <c r="AC124" s="3">
        <f t="shared" si="14"/>
        <v>0</v>
      </c>
      <c r="AE124" s="3">
        <f t="shared" si="30"/>
        <v>0</v>
      </c>
      <c r="AG124" s="32"/>
      <c r="AH124" s="3" t="str">
        <f t="shared" si="18"/>
        <v>Tri-County Educ Srv Ctr</v>
      </c>
      <c r="AI124" s="3" t="str">
        <f>'St of Act-Rev'!A124</f>
        <v>Tri-County Educ Srv Ctr</v>
      </c>
      <c r="AJ124" s="3" t="b">
        <f t="shared" si="19"/>
        <v>1</v>
      </c>
      <c r="AK124" s="3" t="str">
        <f>'St of Act-Exp'!A124</f>
        <v>Tri-County Educ Srv Ctr</v>
      </c>
      <c r="AL124" s="3" t="b">
        <f t="shared" si="16"/>
        <v>1</v>
      </c>
      <c r="AN124" s="3" t="str">
        <f t="shared" si="17"/>
        <v>Wayne</v>
      </c>
      <c r="AO124" s="3" t="str">
        <f>'St of Act-Rev'!C124</f>
        <v>Wayne</v>
      </c>
      <c r="AP124" s="3" t="b">
        <f>C124='St of Act-Rev'!C124</f>
        <v>1</v>
      </c>
      <c r="AQ124" s="3" t="str">
        <f>'St of Act-Exp'!C124</f>
        <v>Wayne</v>
      </c>
      <c r="AR124" s="3" t="b">
        <f>C124='St of Act-Exp'!C124</f>
        <v>1</v>
      </c>
    </row>
    <row r="125" spans="1:44">
      <c r="A125" s="3" t="s">
        <v>422</v>
      </c>
      <c r="C125" s="3" t="s">
        <v>201</v>
      </c>
      <c r="E125" s="12">
        <v>50088</v>
      </c>
      <c r="G125" s="3">
        <f t="shared" si="22"/>
        <v>7970856</v>
      </c>
      <c r="I125" s="3">
        <v>328984</v>
      </c>
      <c r="K125" s="3">
        <v>8299840</v>
      </c>
      <c r="M125" s="3">
        <f t="shared" si="23"/>
        <v>2688426</v>
      </c>
      <c r="O125" s="3">
        <v>104585</v>
      </c>
      <c r="Q125" s="3">
        <v>665775</v>
      </c>
      <c r="S125" s="3">
        <v>3458786</v>
      </c>
      <c r="U125" s="3">
        <v>294472</v>
      </c>
      <c r="W125" s="3">
        <f t="shared" si="24"/>
        <v>4832</v>
      </c>
      <c r="Y125" s="3">
        <v>4541750</v>
      </c>
      <c r="AA125" s="3">
        <v>4841054</v>
      </c>
      <c r="AC125" s="3">
        <f t="shared" si="14"/>
        <v>0</v>
      </c>
      <c r="AE125" s="3">
        <f t="shared" si="30"/>
        <v>0</v>
      </c>
      <c r="AH125" s="3" t="str">
        <f t="shared" si="18"/>
        <v>Trumbull County Educ Srv Ctr</v>
      </c>
      <c r="AI125" s="3" t="str">
        <f>'St of Act-Rev'!A125</f>
        <v>Trumbull County Educ Srv Ctr</v>
      </c>
      <c r="AJ125" s="3" t="b">
        <f t="shared" si="19"/>
        <v>1</v>
      </c>
      <c r="AK125" s="3" t="str">
        <f>'St of Act-Exp'!A125</f>
        <v>Trumbull County Educ Srv Ctr</v>
      </c>
      <c r="AL125" s="3" t="b">
        <f t="shared" si="16"/>
        <v>1</v>
      </c>
      <c r="AN125" s="3" t="str">
        <f t="shared" si="17"/>
        <v>Trumbull</v>
      </c>
      <c r="AO125" s="3" t="str">
        <f>'St of Act-Rev'!C125</f>
        <v>Trumbull</v>
      </c>
      <c r="AP125" s="3" t="b">
        <f>C125='St of Act-Rev'!C125</f>
        <v>1</v>
      </c>
      <c r="AQ125" s="3" t="str">
        <f>'St of Act-Exp'!C125</f>
        <v>Trumbull</v>
      </c>
      <c r="AR125" s="3" t="b">
        <f>C125='St of Act-Exp'!C125</f>
        <v>1</v>
      </c>
    </row>
    <row r="126" spans="1:44" s="65" customFormat="1" hidden="1">
      <c r="A126" s="65" t="s">
        <v>342</v>
      </c>
      <c r="C126" s="65" t="s">
        <v>202</v>
      </c>
      <c r="E126" s="76">
        <v>50260</v>
      </c>
      <c r="G126" s="65">
        <f t="shared" si="22"/>
        <v>0</v>
      </c>
      <c r="M126" s="65">
        <f t="shared" si="23"/>
        <v>0</v>
      </c>
      <c r="W126" s="65">
        <f t="shared" si="24"/>
        <v>0</v>
      </c>
      <c r="AC126" s="65">
        <f t="shared" si="14"/>
        <v>0</v>
      </c>
      <c r="AE126" s="65">
        <f t="shared" si="30"/>
        <v>0</v>
      </c>
      <c r="AH126" s="65" t="str">
        <f t="shared" si="18"/>
        <v>Tuscarawas-Carroll-Harrison Educ Srv Ctr - now East Ctl OH ESC</v>
      </c>
      <c r="AI126" s="65" t="str">
        <f>'St of Act-Rev'!A126</f>
        <v>Tuscarawas-Carroll-Harrison Educ Srv Ctr - now East Ctl OH ESC</v>
      </c>
      <c r="AJ126" s="65" t="b">
        <f t="shared" si="19"/>
        <v>1</v>
      </c>
      <c r="AK126" s="65" t="str">
        <f>'St of Act-Exp'!A126</f>
        <v>Tuscarawas-Carroll-Harrison Educ Srv Ctr - now East Ctl OH ESC</v>
      </c>
      <c r="AL126" s="65" t="b">
        <f t="shared" si="16"/>
        <v>1</v>
      </c>
      <c r="AN126" s="65" t="str">
        <f t="shared" si="17"/>
        <v>Tuscarawas</v>
      </c>
      <c r="AO126" s="65" t="str">
        <f>'St of Act-Rev'!C126</f>
        <v>Tuscarawas</v>
      </c>
      <c r="AP126" s="65" t="b">
        <f>C126='St of Act-Rev'!C126</f>
        <v>1</v>
      </c>
      <c r="AQ126" s="65" t="str">
        <f>'St of Act-Exp'!C126</f>
        <v>Tuscarawas</v>
      </c>
      <c r="AR126" s="65" t="b">
        <f>C126='St of Act-Exp'!C126</f>
        <v>1</v>
      </c>
    </row>
    <row r="127" spans="1:44" s="65" customFormat="1" hidden="1">
      <c r="A127" s="65" t="s">
        <v>424</v>
      </c>
      <c r="C127" s="65" t="s">
        <v>205</v>
      </c>
      <c r="E127" s="76">
        <v>50401</v>
      </c>
      <c r="G127" s="65">
        <f t="shared" si="22"/>
        <v>0</v>
      </c>
      <c r="M127" s="65">
        <f t="shared" si="23"/>
        <v>0</v>
      </c>
      <c r="W127" s="65">
        <f t="shared" si="24"/>
        <v>0</v>
      </c>
      <c r="AC127" s="65">
        <f t="shared" si="14"/>
        <v>0</v>
      </c>
      <c r="AE127" s="65">
        <f t="shared" si="30"/>
        <v>0</v>
      </c>
      <c r="AG127" s="80" t="s">
        <v>410</v>
      </c>
      <c r="AH127" s="65" t="str">
        <f t="shared" si="18"/>
        <v>Warren County Educ Srv Ctr (CASH)</v>
      </c>
      <c r="AI127" s="65" t="str">
        <f>'St of Act-Rev'!A127</f>
        <v>Warren County Educ Srv Ctr (CASH)</v>
      </c>
      <c r="AJ127" s="65" t="b">
        <f t="shared" si="19"/>
        <v>1</v>
      </c>
      <c r="AK127" s="65" t="str">
        <f>'St of Act-Exp'!A127</f>
        <v>Warren County Educ Srv Ctr (CASH)</v>
      </c>
      <c r="AL127" s="65" t="b">
        <f t="shared" si="16"/>
        <v>1</v>
      </c>
      <c r="AN127" s="65" t="str">
        <f t="shared" si="17"/>
        <v>Warren</v>
      </c>
      <c r="AO127" s="65" t="str">
        <f>'St of Act-Rev'!C127</f>
        <v>Warren</v>
      </c>
      <c r="AP127" s="65" t="b">
        <f>C127='St of Act-Rev'!C127</f>
        <v>1</v>
      </c>
      <c r="AQ127" s="65" t="str">
        <f>'St of Act-Exp'!C127</f>
        <v>Warren</v>
      </c>
      <c r="AR127" s="65" t="b">
        <f>C127='St of Act-Exp'!C127</f>
        <v>1</v>
      </c>
    </row>
    <row r="128" spans="1:44" s="65" customFormat="1" hidden="1">
      <c r="A128" s="65" t="s">
        <v>343</v>
      </c>
      <c r="C128" s="65" t="s">
        <v>206</v>
      </c>
      <c r="E128" s="76">
        <v>50476</v>
      </c>
      <c r="G128" s="65">
        <f t="shared" ref="G128" si="31">+K128-I128</f>
        <v>0</v>
      </c>
      <c r="M128" s="65">
        <f t="shared" ref="M128" si="32">+S128-O128-Q128</f>
        <v>0</v>
      </c>
      <c r="W128" s="65">
        <f t="shared" ref="W128" si="33">AA128-Y128-U128</f>
        <v>0</v>
      </c>
      <c r="AC128" s="65">
        <f t="shared" si="14"/>
        <v>0</v>
      </c>
      <c r="AE128" s="65">
        <f t="shared" si="30"/>
        <v>0</v>
      </c>
      <c r="AG128" s="66"/>
      <c r="AH128" s="65" t="str">
        <f t="shared" si="18"/>
        <v>Washington Educ Srv Ctr - merged with Ohio Valley ESC</v>
      </c>
      <c r="AI128" s="65" t="str">
        <f>'St of Act-Rev'!A128</f>
        <v>Washington Educ Srv Ctr - merged with Ohio Valley ESC</v>
      </c>
      <c r="AJ128" s="65" t="b">
        <f t="shared" si="19"/>
        <v>1</v>
      </c>
      <c r="AK128" s="65" t="str">
        <f>'St of Act-Exp'!A128</f>
        <v>Washington Educ Srv Ctr - merged with Ohio Valley ESC</v>
      </c>
      <c r="AL128" s="65" t="b">
        <f t="shared" si="16"/>
        <v>1</v>
      </c>
      <c r="AN128" s="65" t="str">
        <f t="shared" si="17"/>
        <v>Washington</v>
      </c>
      <c r="AO128" s="65" t="str">
        <f>'St of Act-Rev'!C128</f>
        <v>Washington</v>
      </c>
      <c r="AP128" s="65" t="b">
        <f>C128='St of Act-Rev'!C128</f>
        <v>1</v>
      </c>
      <c r="AQ128" s="65" t="str">
        <f>'St of Act-Exp'!C128</f>
        <v>Washington</v>
      </c>
      <c r="AR128" s="65" t="b">
        <f>C128='St of Act-Exp'!C128</f>
        <v>1</v>
      </c>
    </row>
    <row r="129" spans="1:44">
      <c r="A129" s="3" t="s">
        <v>203</v>
      </c>
      <c r="C129" s="3" t="s">
        <v>270</v>
      </c>
      <c r="E129" s="12">
        <v>134999</v>
      </c>
      <c r="G129" s="3">
        <f t="shared" si="22"/>
        <v>789133</v>
      </c>
      <c r="I129" s="3">
        <f>28910+156770</f>
        <v>185680</v>
      </c>
      <c r="K129" s="3">
        <v>974813</v>
      </c>
      <c r="M129" s="3">
        <f t="shared" si="23"/>
        <v>513875</v>
      </c>
      <c r="O129" s="3">
        <v>19343</v>
      </c>
      <c r="Q129" s="3">
        <v>162666</v>
      </c>
      <c r="S129" s="3">
        <v>695884</v>
      </c>
      <c r="U129" s="3">
        <v>185680</v>
      </c>
      <c r="W129" s="3">
        <f t="shared" si="24"/>
        <v>3134</v>
      </c>
      <c r="Y129" s="3">
        <v>90115</v>
      </c>
      <c r="AA129" s="3">
        <v>278929</v>
      </c>
      <c r="AC129" s="3">
        <f t="shared" si="14"/>
        <v>0</v>
      </c>
      <c r="AE129" s="3">
        <f t="shared" si="30"/>
        <v>0</v>
      </c>
      <c r="AH129" s="3" t="str">
        <f t="shared" si="18"/>
        <v>Western Buckeye Educ Srv Ctr</v>
      </c>
      <c r="AI129" s="3" t="str">
        <f>'St of Act-Rev'!A129</f>
        <v>Western Buckeye Educ Srv Ctr</v>
      </c>
      <c r="AJ129" s="3" t="b">
        <f t="shared" si="19"/>
        <v>1</v>
      </c>
      <c r="AK129" s="3" t="str">
        <f>'St of Act-Exp'!A129</f>
        <v>Western Buckeye Educ Srv Ctr</v>
      </c>
      <c r="AL129" s="3" t="b">
        <f t="shared" si="16"/>
        <v>1</v>
      </c>
      <c r="AN129" s="3" t="str">
        <f t="shared" si="17"/>
        <v>Paulding</v>
      </c>
      <c r="AO129" s="3" t="str">
        <f>'St of Act-Rev'!C129</f>
        <v>Paulding</v>
      </c>
      <c r="AP129" s="3" t="b">
        <f>C129='St of Act-Rev'!C129</f>
        <v>1</v>
      </c>
      <c r="AQ129" s="3" t="str">
        <f>'St of Act-Exp'!C129</f>
        <v>Paulding</v>
      </c>
      <c r="AR129" s="3" t="b">
        <f>C129='St of Act-Exp'!C129</f>
        <v>1</v>
      </c>
    </row>
    <row r="130" spans="1:44">
      <c r="A130" s="3" t="s">
        <v>423</v>
      </c>
      <c r="C130" s="3" t="s">
        <v>209</v>
      </c>
      <c r="E130" s="12">
        <v>50666</v>
      </c>
      <c r="G130" s="3">
        <f t="shared" si="22"/>
        <v>6891872</v>
      </c>
      <c r="I130" s="3">
        <f>112500+1811549</f>
        <v>1924049</v>
      </c>
      <c r="K130" s="3">
        <v>8815921</v>
      </c>
      <c r="M130" s="3">
        <f t="shared" si="23"/>
        <v>1990399</v>
      </c>
      <c r="O130" s="3">
        <v>100452</v>
      </c>
      <c r="Q130" s="3">
        <v>697294</v>
      </c>
      <c r="S130" s="3">
        <v>2788145</v>
      </c>
      <c r="U130" s="3">
        <v>1924049</v>
      </c>
      <c r="W130" s="3">
        <f t="shared" si="24"/>
        <v>2010958</v>
      </c>
      <c r="Y130" s="3">
        <v>2092769</v>
      </c>
      <c r="AA130" s="3">
        <v>6027776</v>
      </c>
      <c r="AC130" s="3">
        <f t="shared" si="14"/>
        <v>0</v>
      </c>
      <c r="AE130" s="3">
        <f t="shared" si="30"/>
        <v>0</v>
      </c>
      <c r="AH130" s="3" t="str">
        <f t="shared" si="18"/>
        <v>Wood County Educ Srv Ctr</v>
      </c>
      <c r="AI130" s="3" t="str">
        <f>'St of Act-Rev'!A130</f>
        <v>Wood County Educ Srv Ctr</v>
      </c>
      <c r="AJ130" s="3" t="b">
        <f t="shared" si="19"/>
        <v>1</v>
      </c>
      <c r="AK130" s="3" t="str">
        <f>'St of Act-Exp'!A130</f>
        <v>Wood County Educ Srv Ctr</v>
      </c>
      <c r="AL130" s="3" t="b">
        <f t="shared" si="16"/>
        <v>1</v>
      </c>
      <c r="AN130" s="3" t="str">
        <f t="shared" si="17"/>
        <v>Wood</v>
      </c>
      <c r="AO130" s="3" t="str">
        <f>'St of Act-Rev'!C130</f>
        <v>Wood</v>
      </c>
      <c r="AP130" s="3" t="b">
        <f>C130='St of Act-Rev'!C130</f>
        <v>1</v>
      </c>
      <c r="AQ130" s="3" t="str">
        <f>'St of Act-Exp'!C130</f>
        <v>Wood</v>
      </c>
      <c r="AR130" s="3" t="b">
        <f>C130='St of Act-Exp'!C130</f>
        <v>1</v>
      </c>
    </row>
  </sheetData>
  <mergeCells count="4">
    <mergeCell ref="G8:J8"/>
    <mergeCell ref="U8:Y8"/>
    <mergeCell ref="A1:I1"/>
    <mergeCell ref="M8:Q8"/>
  </mergeCells>
  <phoneticPr fontId="3" type="noConversion"/>
  <pageMargins left="0.9" right="0.75" top="0.5" bottom="0.5" header="0.25" footer="0.25"/>
  <pageSetup scale="80" firstPageNumber="6" pageOrder="overThenDown" orientation="portrait" useFirstPageNumber="1" r:id="rId1"/>
  <headerFooter scaleWithDoc="0" alignWithMargins="0"/>
  <rowBreaks count="1" manualBreakCount="1">
    <brk id="66" max="16383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I145"/>
  <sheetViews>
    <sheetView tabSelected="1" zoomScaleNormal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3" sqref="A3"/>
    </sheetView>
  </sheetViews>
  <sheetFormatPr defaultColWidth="9.140625" defaultRowHeight="12"/>
  <cols>
    <col min="1" max="1" width="40.7109375" style="16" customWidth="1"/>
    <col min="2" max="2" width="1.7109375" style="16" customWidth="1"/>
    <col min="3" max="3" width="11.7109375" style="16" customWidth="1"/>
    <col min="4" max="4" width="1.7109375" style="16" hidden="1" customWidth="1"/>
    <col min="5" max="5" width="11.7109375" style="16" hidden="1" customWidth="1"/>
    <col min="6" max="6" width="1.7109375" style="16" customWidth="1"/>
    <col min="7" max="7" width="11.7109375" style="16" customWidth="1"/>
    <col min="8" max="8" width="1.7109375" style="16" customWidth="1"/>
    <col min="9" max="9" width="11.7109375" style="16" customWidth="1"/>
    <col min="10" max="10" width="1.7109375" style="16" customWidth="1"/>
    <col min="11" max="11" width="11.7109375" style="16" customWidth="1"/>
    <col min="12" max="12" width="1.7109375" style="16" customWidth="1"/>
    <col min="13" max="13" width="11.7109375" style="16" customWidth="1"/>
    <col min="14" max="14" width="1.7109375" style="16" customWidth="1"/>
    <col min="15" max="15" width="11.7109375" style="16" customWidth="1"/>
    <col min="16" max="16" width="1.7109375" style="16" customWidth="1"/>
    <col min="17" max="17" width="11.7109375" style="16" customWidth="1"/>
    <col min="18" max="18" width="1.7109375" style="16" customWidth="1"/>
    <col min="19" max="19" width="11.7109375" style="16" customWidth="1"/>
    <col min="20" max="20" width="1.7109375" style="16" customWidth="1"/>
    <col min="21" max="21" width="11.7109375" style="16" customWidth="1"/>
    <col min="22" max="22" width="2.42578125" style="16" customWidth="1"/>
    <col min="23" max="23" width="11.7109375" style="16" customWidth="1"/>
    <col min="24" max="24" width="1.7109375" style="16" customWidth="1"/>
    <col min="25" max="25" width="11.7109375" style="16" customWidth="1"/>
    <col min="26" max="26" width="1.7109375" style="16" customWidth="1"/>
    <col min="27" max="27" width="11.7109375" style="16" customWidth="1"/>
    <col min="28" max="28" width="1.7109375" style="16" customWidth="1"/>
    <col min="29" max="29" width="15.140625" style="16" customWidth="1"/>
    <col min="30" max="30" width="11.7109375" style="16" customWidth="1"/>
    <col min="31" max="31" width="9.140625" style="16"/>
    <col min="32" max="32" width="2.7109375" style="16" customWidth="1"/>
    <col min="33" max="16384" width="9.140625" style="16"/>
  </cols>
  <sheetData>
    <row r="1" spans="1:34" s="7" customFormat="1">
      <c r="A1" s="37" t="s">
        <v>130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34" s="7" customFormat="1">
      <c r="A2" s="37" t="s">
        <v>297</v>
      </c>
      <c r="B2" s="37"/>
      <c r="C2" s="37"/>
      <c r="D2" s="37"/>
      <c r="E2" s="3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34" s="3" customFormat="1">
      <c r="A3" s="4" t="s">
        <v>266</v>
      </c>
      <c r="B3" s="5"/>
      <c r="C3" s="5"/>
      <c r="D3" s="5"/>
      <c r="E3" s="5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34" s="3" customFormat="1">
      <c r="A4" s="7" t="s">
        <v>269</v>
      </c>
    </row>
    <row r="5" spans="1:34" s="3" customFormat="1">
      <c r="A5" s="19"/>
    </row>
    <row r="6" spans="1:34" s="7" customFormat="1">
      <c r="A6" s="35" t="s">
        <v>380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W6" s="11" t="s">
        <v>1</v>
      </c>
    </row>
    <row r="7" spans="1:34" s="11" customForma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W7" s="11" t="s">
        <v>131</v>
      </c>
    </row>
    <row r="8" spans="1:34" s="11" customFormat="1">
      <c r="A8" s="22"/>
      <c r="B8" s="2"/>
      <c r="C8" s="2"/>
      <c r="D8" s="2"/>
      <c r="E8" s="2"/>
      <c r="F8" s="2"/>
      <c r="G8" s="2" t="s">
        <v>26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1</v>
      </c>
      <c r="W8" s="11" t="s">
        <v>132</v>
      </c>
    </row>
    <row r="9" spans="1:34" s="11" customFormat="1">
      <c r="A9" s="2"/>
      <c r="B9" s="2"/>
      <c r="C9" s="2"/>
      <c r="D9" s="2"/>
      <c r="E9" s="2"/>
      <c r="F9" s="2"/>
      <c r="G9" s="2" t="s">
        <v>133</v>
      </c>
      <c r="H9" s="2"/>
      <c r="I9" s="2"/>
      <c r="J9" s="2"/>
      <c r="K9" s="2" t="s">
        <v>134</v>
      </c>
      <c r="L9" s="2"/>
      <c r="M9" s="2" t="s">
        <v>6</v>
      </c>
      <c r="N9" s="2"/>
      <c r="O9" s="2" t="s">
        <v>135</v>
      </c>
      <c r="P9" s="2"/>
      <c r="Q9" s="2" t="s">
        <v>241</v>
      </c>
      <c r="R9" s="2"/>
      <c r="S9" s="2"/>
      <c r="T9" s="2"/>
      <c r="U9" s="11" t="s">
        <v>136</v>
      </c>
      <c r="W9" s="11" t="s">
        <v>137</v>
      </c>
    </row>
    <row r="10" spans="1:34" s="11" customFormat="1">
      <c r="A10" s="31" t="s">
        <v>295</v>
      </c>
      <c r="C10" s="31" t="s">
        <v>12</v>
      </c>
      <c r="E10" s="31" t="s">
        <v>13</v>
      </c>
      <c r="F10" s="2"/>
      <c r="G10" s="31" t="s">
        <v>138</v>
      </c>
      <c r="H10" s="2"/>
      <c r="I10" s="31" t="s">
        <v>139</v>
      </c>
      <c r="J10" s="2"/>
      <c r="K10" s="31" t="s">
        <v>140</v>
      </c>
      <c r="L10" s="2"/>
      <c r="M10" s="31" t="s">
        <v>141</v>
      </c>
      <c r="N10" s="2"/>
      <c r="O10" s="31" t="s">
        <v>142</v>
      </c>
      <c r="P10" s="2"/>
      <c r="Q10" s="31" t="s">
        <v>143</v>
      </c>
      <c r="R10" s="2"/>
      <c r="S10" s="31" t="s">
        <v>8</v>
      </c>
      <c r="T10" s="2"/>
      <c r="U10" s="31" t="s">
        <v>144</v>
      </c>
      <c r="V10" s="2"/>
      <c r="W10" s="31" t="s">
        <v>3</v>
      </c>
    </row>
    <row r="11" spans="1:34" s="11" customFormat="1">
      <c r="A11" s="2"/>
      <c r="C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C11" s="45" t="s">
        <v>349</v>
      </c>
      <c r="AD11" s="45" t="s">
        <v>363</v>
      </c>
      <c r="AE11" s="45"/>
      <c r="AF11" s="45"/>
      <c r="AG11" s="45" t="s">
        <v>365</v>
      </c>
      <c r="AH11" s="45" t="s">
        <v>375</v>
      </c>
    </row>
    <row r="12" spans="1:34" ht="12.75">
      <c r="A12" s="38" t="s">
        <v>264</v>
      </c>
      <c r="B12" s="18"/>
    </row>
    <row r="13" spans="1:34" ht="12.75">
      <c r="A13" s="38"/>
      <c r="B13" s="18"/>
    </row>
    <row r="14" spans="1:34">
      <c r="A14" s="3" t="s">
        <v>306</v>
      </c>
      <c r="B14" s="3"/>
      <c r="C14" s="3" t="s">
        <v>272</v>
      </c>
      <c r="G14" s="20">
        <v>0</v>
      </c>
      <c r="H14" s="20"/>
      <c r="I14" s="20">
        <v>346666</v>
      </c>
      <c r="J14" s="20"/>
      <c r="K14" s="20">
        <v>0</v>
      </c>
      <c r="L14" s="20"/>
      <c r="M14" s="20">
        <v>0</v>
      </c>
      <c r="N14" s="20"/>
      <c r="O14" s="20">
        <v>661630</v>
      </c>
      <c r="P14" s="20"/>
      <c r="Q14" s="20">
        <v>0</v>
      </c>
      <c r="R14" s="20"/>
      <c r="S14" s="21">
        <f>SUM(G14:R14)</f>
        <v>1008296</v>
      </c>
      <c r="T14" s="20"/>
      <c r="U14" s="20">
        <v>203637</v>
      </c>
      <c r="V14" s="3"/>
      <c r="W14" s="3">
        <f>'St of Net Assets'!O14-U14</f>
        <v>0</v>
      </c>
      <c r="X14" s="20"/>
      <c r="Y14" s="16" t="s">
        <v>303</v>
      </c>
      <c r="Z14" s="20"/>
      <c r="AA14" s="20"/>
      <c r="AB14" s="20"/>
      <c r="AC14" s="20" t="str">
        <f>A14</f>
        <v>Apollo Career Center</v>
      </c>
      <c r="AD14" s="20" t="str">
        <f>GovExp!A14</f>
        <v>Apollo Career Center</v>
      </c>
      <c r="AE14" s="20" t="b">
        <f>A14=AD14</f>
        <v>1</v>
      </c>
      <c r="AF14" s="20"/>
      <c r="AG14" s="3" t="str">
        <f>C14</f>
        <v>Allen</v>
      </c>
      <c r="AH14" s="16" t="b">
        <f>C14=GovExp!C14</f>
        <v>1</v>
      </c>
    </row>
    <row r="15" spans="1:34" s="20" customFormat="1">
      <c r="A15" s="3" t="s">
        <v>249</v>
      </c>
      <c r="C15" s="20" t="s">
        <v>146</v>
      </c>
      <c r="E15" s="26">
        <v>62042</v>
      </c>
      <c r="G15" s="3">
        <f>1247154-344449</f>
        <v>902705</v>
      </c>
      <c r="H15" s="3"/>
      <c r="I15" s="3">
        <v>0</v>
      </c>
      <c r="J15" s="3"/>
      <c r="K15" s="3">
        <v>0</v>
      </c>
      <c r="L15" s="3"/>
      <c r="M15" s="3">
        <v>0</v>
      </c>
      <c r="N15" s="3"/>
      <c r="O15" s="3">
        <v>344449</v>
      </c>
      <c r="P15" s="3"/>
      <c r="Q15" s="3">
        <v>0</v>
      </c>
      <c r="R15" s="3"/>
      <c r="S15" s="17">
        <f>SUM(G15:R15)</f>
        <v>1247154</v>
      </c>
      <c r="T15" s="3"/>
      <c r="U15" s="3">
        <v>112394</v>
      </c>
      <c r="V15" s="3"/>
      <c r="W15" s="3">
        <f>'St of Net Assets'!O15-U15</f>
        <v>0</v>
      </c>
      <c r="X15" s="16"/>
      <c r="Y15" s="3"/>
      <c r="Z15" s="16"/>
      <c r="AA15" s="16"/>
      <c r="AB15" s="16"/>
      <c r="AC15" s="20" t="str">
        <f t="shared" ref="AC15:AC78" si="0">A15</f>
        <v>Ashland County-West Holmes JVSD</v>
      </c>
      <c r="AD15" s="20" t="str">
        <f>GovExp!A15</f>
        <v>Ashland County-West Holmes JVSD</v>
      </c>
      <c r="AE15" s="20" t="b">
        <f t="shared" ref="AE15:AE78" si="1">A15=AD15</f>
        <v>1</v>
      </c>
      <c r="AF15" s="16"/>
      <c r="AG15" s="3" t="str">
        <f t="shared" ref="AG15:AG78" si="2">C15</f>
        <v>Ashland</v>
      </c>
      <c r="AH15" s="16" t="b">
        <f>C15=GovExp!C15</f>
        <v>1</v>
      </c>
    </row>
    <row r="16" spans="1:34">
      <c r="A16" s="3" t="s">
        <v>210</v>
      </c>
      <c r="C16" s="16" t="s">
        <v>147</v>
      </c>
      <c r="E16" s="16">
        <v>50815</v>
      </c>
      <c r="G16" s="3">
        <v>0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134887</v>
      </c>
      <c r="P16" s="3"/>
      <c r="Q16" s="3">
        <v>0</v>
      </c>
      <c r="R16" s="3"/>
      <c r="S16" s="17">
        <f>SUM(G16:R16)</f>
        <v>134887</v>
      </c>
      <c r="T16" s="3"/>
      <c r="U16" s="3">
        <v>134887</v>
      </c>
      <c r="V16" s="3"/>
      <c r="W16" s="3">
        <f>'St of Net Assets'!O16-U16</f>
        <v>0</v>
      </c>
      <c r="Y16" s="3"/>
      <c r="AC16" s="20" t="str">
        <f t="shared" si="0"/>
        <v>Ashtabula County JVSD</v>
      </c>
      <c r="AD16" s="20" t="str">
        <f>GovExp!A16</f>
        <v>Ashtabula County JVSD</v>
      </c>
      <c r="AE16" s="20" t="b">
        <f t="shared" si="1"/>
        <v>1</v>
      </c>
      <c r="AG16" s="3" t="str">
        <f t="shared" si="2"/>
        <v>Ashtabula</v>
      </c>
      <c r="AH16" s="16" t="b">
        <f>C16=GovExp!C16</f>
        <v>1</v>
      </c>
    </row>
    <row r="17" spans="1:34">
      <c r="A17" s="3" t="s">
        <v>325</v>
      </c>
      <c r="C17" s="16" t="s">
        <v>149</v>
      </c>
      <c r="E17" s="16">
        <v>51169</v>
      </c>
      <c r="G17" s="3">
        <v>0</v>
      </c>
      <c r="H17" s="3"/>
      <c r="I17" s="3">
        <v>0</v>
      </c>
      <c r="J17" s="3"/>
      <c r="K17" s="3">
        <v>0</v>
      </c>
      <c r="L17" s="3"/>
      <c r="M17" s="3">
        <v>0</v>
      </c>
      <c r="N17" s="3"/>
      <c r="O17" s="3">
        <v>729068</v>
      </c>
      <c r="P17" s="3"/>
      <c r="Q17" s="3">
        <v>0</v>
      </c>
      <c r="R17" s="3"/>
      <c r="S17" s="17">
        <f t="shared" ref="S17:S64" si="3">SUM(G17:R17)</f>
        <v>729068</v>
      </c>
      <c r="T17" s="3"/>
      <c r="U17" s="3">
        <v>67326</v>
      </c>
      <c r="V17" s="3"/>
      <c r="W17" s="3">
        <f>'St of Net Assets'!O17-U17</f>
        <v>0</v>
      </c>
      <c r="Y17" s="3"/>
      <c r="AC17" s="20" t="str">
        <f t="shared" si="0"/>
        <v>Auburn VSD</v>
      </c>
      <c r="AD17" s="20" t="str">
        <f>GovExp!A17</f>
        <v>Auburn VSD</v>
      </c>
      <c r="AE17" s="20" t="b">
        <f t="shared" si="1"/>
        <v>1</v>
      </c>
      <c r="AG17" s="3" t="str">
        <f t="shared" si="2"/>
        <v>Lake</v>
      </c>
      <c r="AH17" s="16" t="b">
        <f>C17=GovExp!C17</f>
        <v>1</v>
      </c>
    </row>
    <row r="18" spans="1:34">
      <c r="A18" s="3" t="s">
        <v>326</v>
      </c>
      <c r="C18" s="16" t="s">
        <v>152</v>
      </c>
      <c r="E18" s="16">
        <v>50856</v>
      </c>
      <c r="G18" s="3">
        <v>0</v>
      </c>
      <c r="H18" s="3"/>
      <c r="I18" s="3">
        <v>266669</v>
      </c>
      <c r="J18" s="3"/>
      <c r="K18" s="3">
        <v>0</v>
      </c>
      <c r="L18" s="3"/>
      <c r="M18" s="3">
        <v>0</v>
      </c>
      <c r="N18" s="3"/>
      <c r="O18" s="3">
        <v>1243769</v>
      </c>
      <c r="P18" s="3"/>
      <c r="Q18" s="3">
        <v>0</v>
      </c>
      <c r="R18" s="3"/>
      <c r="S18" s="17">
        <f t="shared" si="3"/>
        <v>1510438</v>
      </c>
      <c r="T18" s="3"/>
      <c r="U18" s="3">
        <v>86611</v>
      </c>
      <c r="V18" s="3"/>
      <c r="W18" s="3">
        <f>'St of Net Assets'!O18-U18</f>
        <v>0</v>
      </c>
      <c r="Y18" s="3"/>
      <c r="AC18" s="20" t="str">
        <f t="shared" si="0"/>
        <v>Belmont-Harrison VSD</v>
      </c>
      <c r="AD18" s="20" t="str">
        <f>GovExp!A18</f>
        <v>Belmont-Harrison VSD</v>
      </c>
      <c r="AE18" s="20" t="b">
        <f t="shared" si="1"/>
        <v>1</v>
      </c>
      <c r="AG18" s="3" t="str">
        <f t="shared" si="2"/>
        <v>Belmont</v>
      </c>
      <c r="AH18" s="16" t="b">
        <f>C18=GovExp!C18</f>
        <v>1</v>
      </c>
    </row>
    <row r="19" spans="1:34">
      <c r="A19" s="3" t="s">
        <v>227</v>
      </c>
      <c r="C19" s="16" t="s">
        <v>202</v>
      </c>
      <c r="E19" s="16">
        <v>51656</v>
      </c>
      <c r="G19" s="3">
        <v>0</v>
      </c>
      <c r="H19" s="3"/>
      <c r="I19" s="3">
        <v>0</v>
      </c>
      <c r="J19" s="3"/>
      <c r="K19" s="3">
        <v>0</v>
      </c>
      <c r="L19" s="3"/>
      <c r="M19" s="3">
        <v>234909</v>
      </c>
      <c r="N19" s="3"/>
      <c r="O19" s="3">
        <v>447342</v>
      </c>
      <c r="P19" s="3"/>
      <c r="Q19" s="3">
        <v>0</v>
      </c>
      <c r="R19" s="3"/>
      <c r="S19" s="17">
        <f t="shared" si="3"/>
        <v>682251</v>
      </c>
      <c r="T19" s="3"/>
      <c r="U19" s="3">
        <v>84325</v>
      </c>
      <c r="V19" s="3"/>
      <c r="W19" s="3">
        <f>'St of Net Assets'!O19-U19</f>
        <v>0</v>
      </c>
      <c r="Y19" s="3"/>
      <c r="AC19" s="20" t="str">
        <f t="shared" si="0"/>
        <v>Buckeye JVSD</v>
      </c>
      <c r="AD19" s="20" t="str">
        <f>GovExp!A19</f>
        <v>Buckeye JVSD</v>
      </c>
      <c r="AE19" s="20" t="b">
        <f t="shared" si="1"/>
        <v>1</v>
      </c>
      <c r="AG19" s="3" t="str">
        <f t="shared" si="2"/>
        <v>Tuscarawas</v>
      </c>
      <c r="AH19" s="16" t="b">
        <f>C19=GovExp!C19</f>
        <v>1</v>
      </c>
    </row>
    <row r="20" spans="1:34">
      <c r="A20" s="3" t="s">
        <v>287</v>
      </c>
      <c r="C20" s="16" t="s">
        <v>150</v>
      </c>
      <c r="E20" s="16">
        <v>50880</v>
      </c>
      <c r="G20" s="3">
        <v>0</v>
      </c>
      <c r="H20" s="3"/>
      <c r="I20" s="3">
        <v>0</v>
      </c>
      <c r="J20" s="3"/>
      <c r="K20" s="3">
        <v>0</v>
      </c>
      <c r="L20" s="3"/>
      <c r="M20" s="3">
        <v>0</v>
      </c>
      <c r="N20" s="3"/>
      <c r="O20" s="3">
        <v>2150192</v>
      </c>
      <c r="P20" s="3"/>
      <c r="Q20" s="3">
        <v>0</v>
      </c>
      <c r="R20" s="3"/>
      <c r="S20" s="17">
        <f t="shared" si="3"/>
        <v>2150192</v>
      </c>
      <c r="T20" s="3"/>
      <c r="U20" s="3">
        <v>366936</v>
      </c>
      <c r="V20" s="3"/>
      <c r="W20" s="3">
        <f>'St of Net Assets'!O20-U20</f>
        <v>0</v>
      </c>
      <c r="Y20" s="3"/>
      <c r="AC20" s="20" t="str">
        <f t="shared" si="0"/>
        <v>Butler Technology and Career Development</v>
      </c>
      <c r="AD20" s="20" t="str">
        <f>GovExp!A20</f>
        <v>Butler Technology and Career Development</v>
      </c>
      <c r="AE20" s="20" t="b">
        <f t="shared" si="1"/>
        <v>1</v>
      </c>
      <c r="AG20" s="3" t="str">
        <f t="shared" si="2"/>
        <v>Butler</v>
      </c>
      <c r="AH20" s="16" t="b">
        <f>C20=GovExp!C20</f>
        <v>1</v>
      </c>
    </row>
    <row r="21" spans="1:34">
      <c r="A21" s="3" t="s">
        <v>291</v>
      </c>
      <c r="C21" s="16" t="s">
        <v>176</v>
      </c>
      <c r="E21" s="16">
        <v>51201</v>
      </c>
      <c r="G21" s="3">
        <v>27272864</v>
      </c>
      <c r="H21" s="3"/>
      <c r="I21" s="3">
        <v>0</v>
      </c>
      <c r="J21" s="3"/>
      <c r="K21" s="3">
        <v>0</v>
      </c>
      <c r="L21" s="3"/>
      <c r="M21" s="3">
        <v>8441</v>
      </c>
      <c r="N21" s="3"/>
      <c r="O21" s="3">
        <v>707701</v>
      </c>
      <c r="P21" s="3"/>
      <c r="Q21" s="3">
        <v>0</v>
      </c>
      <c r="R21" s="3"/>
      <c r="S21" s="17">
        <f>SUM(G21:R21)</f>
        <v>27989006</v>
      </c>
      <c r="T21" s="3"/>
      <c r="U21" s="3">
        <v>1250474</v>
      </c>
      <c r="V21" s="3"/>
      <c r="W21" s="3">
        <f>'St of Net Assets'!O21-U21</f>
        <v>0</v>
      </c>
      <c r="Y21" s="3"/>
      <c r="AC21" s="20" t="str">
        <f>A21</f>
        <v>Career and Technology Education Centers of Licking County</v>
      </c>
      <c r="AD21" s="20" t="str">
        <f>GovExp!A21</f>
        <v>Career and Technology Education Centers of Licking County</v>
      </c>
      <c r="AE21" s="20" t="b">
        <f>A21=AD21</f>
        <v>1</v>
      </c>
      <c r="AG21" s="3" t="str">
        <f>C21</f>
        <v>Licking</v>
      </c>
      <c r="AH21" s="16" t="b">
        <f>C21=GovExp!C21</f>
        <v>1</v>
      </c>
    </row>
    <row r="22" spans="1:34" s="66" customFormat="1" hidden="1">
      <c r="A22" s="65" t="s">
        <v>289</v>
      </c>
      <c r="C22" s="66" t="s">
        <v>220</v>
      </c>
      <c r="E22" s="66">
        <v>63511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7">
        <f t="shared" si="3"/>
        <v>0</v>
      </c>
      <c r="T22" s="65"/>
      <c r="U22" s="65"/>
      <c r="V22" s="65"/>
      <c r="W22" s="65">
        <f>'St of Net Assets'!O22-U22</f>
        <v>0</v>
      </c>
      <c r="Y22" s="66" t="s">
        <v>304</v>
      </c>
      <c r="AC22" s="68" t="str">
        <f t="shared" si="0"/>
        <v>Central Ohio JVSD- now Tolles Career &amp; Technical Center since 2005</v>
      </c>
      <c r="AD22" s="68" t="str">
        <f>GovExp!A22</f>
        <v>Central Ohio JVSD- now Tolles Career &amp; Technical Center since 2005</v>
      </c>
      <c r="AE22" s="68" t="b">
        <f t="shared" si="1"/>
        <v>1</v>
      </c>
      <c r="AG22" s="65" t="str">
        <f t="shared" si="2"/>
        <v>Madison</v>
      </c>
      <c r="AH22" s="66" t="b">
        <f>C22=GovExp!C22</f>
        <v>1</v>
      </c>
    </row>
    <row r="23" spans="1:34">
      <c r="A23" s="3" t="s">
        <v>288</v>
      </c>
      <c r="C23" s="16" t="s">
        <v>159</v>
      </c>
      <c r="E23" s="16">
        <v>50906</v>
      </c>
      <c r="G23" s="3">
        <v>0</v>
      </c>
      <c r="H23" s="3"/>
      <c r="I23" s="3">
        <v>0</v>
      </c>
      <c r="J23" s="3"/>
      <c r="K23" s="3">
        <v>0</v>
      </c>
      <c r="L23" s="3"/>
      <c r="M23" s="3">
        <v>0</v>
      </c>
      <c r="N23" s="3"/>
      <c r="O23" s="3">
        <v>261345</v>
      </c>
      <c r="P23" s="3"/>
      <c r="Q23" s="3">
        <v>0</v>
      </c>
      <c r="R23" s="3"/>
      <c r="S23" s="17">
        <f t="shared" si="3"/>
        <v>261345</v>
      </c>
      <c r="T23" s="3"/>
      <c r="U23" s="3">
        <v>68474</v>
      </c>
      <c r="V23" s="3"/>
      <c r="W23" s="3">
        <f>'St of Net Assets'!O23-U23</f>
        <v>0</v>
      </c>
      <c r="Y23" s="3"/>
      <c r="AC23" s="20" t="str">
        <f t="shared" si="0"/>
        <v>Columbiana County Career &amp; Technical Center</v>
      </c>
      <c r="AD23" s="20" t="str">
        <f>GovExp!A23</f>
        <v>Columbiana County Career &amp; Technical Center</v>
      </c>
      <c r="AE23" s="20" t="b">
        <f t="shared" si="1"/>
        <v>1</v>
      </c>
      <c r="AG23" s="3" t="str">
        <f t="shared" si="2"/>
        <v>Columbiana</v>
      </c>
      <c r="AH23" s="16" t="b">
        <f>C23=GovExp!C23</f>
        <v>1</v>
      </c>
    </row>
    <row r="24" spans="1:34">
      <c r="A24" s="3" t="s">
        <v>253</v>
      </c>
      <c r="C24" s="16" t="s">
        <v>213</v>
      </c>
      <c r="E24" s="16">
        <v>65227</v>
      </c>
      <c r="G24" s="3">
        <v>0</v>
      </c>
      <c r="H24" s="3"/>
      <c r="I24" s="3">
        <f>95000+247672+35875</f>
        <v>378547</v>
      </c>
      <c r="J24" s="3"/>
      <c r="K24" s="3">
        <v>0</v>
      </c>
      <c r="L24" s="3"/>
      <c r="M24" s="3">
        <v>27865</v>
      </c>
      <c r="N24" s="3"/>
      <c r="O24" s="3">
        <v>280678</v>
      </c>
      <c r="P24" s="3"/>
      <c r="Q24" s="3">
        <v>0</v>
      </c>
      <c r="R24" s="3"/>
      <c r="S24" s="17">
        <f t="shared" si="3"/>
        <v>687090</v>
      </c>
      <c r="T24" s="3"/>
      <c r="U24" s="3">
        <v>80318</v>
      </c>
      <c r="V24" s="3"/>
      <c r="W24" s="3">
        <f>'St of Net Assets'!O24-U24</f>
        <v>0</v>
      </c>
      <c r="Y24" s="3"/>
      <c r="AC24" s="20" t="str">
        <f t="shared" si="0"/>
        <v>Coshocton County Career Center</v>
      </c>
      <c r="AD24" s="20" t="str">
        <f>GovExp!A24</f>
        <v>Coshocton County Career Center</v>
      </c>
      <c r="AE24" s="20" t="b">
        <f t="shared" si="1"/>
        <v>1</v>
      </c>
      <c r="AG24" s="3" t="str">
        <f t="shared" si="2"/>
        <v>Coshocton</v>
      </c>
      <c r="AH24" s="16" t="b">
        <f>C24=GovExp!C24</f>
        <v>1</v>
      </c>
    </row>
    <row r="25" spans="1:34">
      <c r="A25" s="3" t="s">
        <v>251</v>
      </c>
      <c r="C25" s="16" t="s">
        <v>160</v>
      </c>
      <c r="E25" s="16">
        <v>50922</v>
      </c>
      <c r="G25" s="3">
        <v>0</v>
      </c>
      <c r="H25" s="3"/>
      <c r="I25" s="3">
        <v>0</v>
      </c>
      <c r="J25" s="3"/>
      <c r="K25" s="3">
        <v>0</v>
      </c>
      <c r="L25" s="3"/>
      <c r="M25" s="3">
        <v>266962</v>
      </c>
      <c r="N25" s="3"/>
      <c r="O25" s="3">
        <v>1914769</v>
      </c>
      <c r="P25" s="3"/>
      <c r="Q25" s="3">
        <v>0</v>
      </c>
      <c r="R25" s="3"/>
      <c r="S25" s="17">
        <f t="shared" si="3"/>
        <v>2181731</v>
      </c>
      <c r="T25" s="3"/>
      <c r="U25" s="3">
        <v>268783</v>
      </c>
      <c r="V25" s="3"/>
      <c r="W25" s="3">
        <f>'St of Net Assets'!O25-U25</f>
        <v>0</v>
      </c>
      <c r="Y25" s="3"/>
      <c r="AC25" s="20" t="str">
        <f t="shared" si="0"/>
        <v>Cuyahoga Valley Career Center</v>
      </c>
      <c r="AD25" s="20" t="str">
        <f>GovExp!A25</f>
        <v>Cuyahoga Valley Career Center</v>
      </c>
      <c r="AE25" s="20" t="b">
        <f t="shared" si="1"/>
        <v>1</v>
      </c>
      <c r="AG25" s="3" t="str">
        <f t="shared" si="2"/>
        <v>Cuyahoga</v>
      </c>
      <c r="AH25" s="16" t="b">
        <f>C25=GovExp!C25</f>
        <v>1</v>
      </c>
    </row>
    <row r="26" spans="1:34">
      <c r="A26" s="3" t="s">
        <v>250</v>
      </c>
      <c r="C26" s="16" t="s">
        <v>162</v>
      </c>
      <c r="E26" s="16">
        <v>50989</v>
      </c>
      <c r="G26" s="3">
        <v>0</v>
      </c>
      <c r="H26" s="3"/>
      <c r="I26" s="3">
        <v>49999</v>
      </c>
      <c r="J26" s="3"/>
      <c r="K26" s="3">
        <v>0</v>
      </c>
      <c r="L26" s="3"/>
      <c r="M26" s="3">
        <v>0</v>
      </c>
      <c r="N26" s="3"/>
      <c r="O26" s="3">
        <v>1305956</v>
      </c>
      <c r="P26" s="3"/>
      <c r="Q26" s="3">
        <v>0</v>
      </c>
      <c r="R26" s="3"/>
      <c r="S26" s="17">
        <f t="shared" si="3"/>
        <v>1355955</v>
      </c>
      <c r="T26" s="3"/>
      <c r="U26" s="3">
        <v>227355</v>
      </c>
      <c r="V26" s="3"/>
      <c r="W26" s="3">
        <f>'St of Net Assets'!O26-U26</f>
        <v>0</v>
      </c>
      <c r="Y26" s="3"/>
      <c r="AC26" s="20" t="str">
        <f t="shared" si="0"/>
        <v>Delaware Area Career Center</v>
      </c>
      <c r="AD26" s="20" t="str">
        <f>GovExp!A26</f>
        <v>Delaware Area Career Center</v>
      </c>
      <c r="AE26" s="20" t="b">
        <f t="shared" si="1"/>
        <v>1</v>
      </c>
      <c r="AG26" s="3" t="str">
        <f t="shared" si="2"/>
        <v>Delaware</v>
      </c>
      <c r="AH26" s="16" t="b">
        <f>C26=GovExp!C26</f>
        <v>1</v>
      </c>
    </row>
    <row r="27" spans="1:34" ht="12" customHeight="1">
      <c r="A27" s="3" t="s">
        <v>307</v>
      </c>
      <c r="C27" s="16" t="s">
        <v>165</v>
      </c>
      <c r="E27" s="16">
        <v>51003</v>
      </c>
      <c r="G27" s="3">
        <v>0</v>
      </c>
      <c r="H27" s="3"/>
      <c r="I27" s="3">
        <v>0</v>
      </c>
      <c r="J27" s="3"/>
      <c r="K27" s="3">
        <v>300000</v>
      </c>
      <c r="L27" s="3"/>
      <c r="M27" s="3">
        <v>0</v>
      </c>
      <c r="N27" s="3"/>
      <c r="O27" s="3">
        <f>1640052+59422</f>
        <v>1699474</v>
      </c>
      <c r="P27" s="3"/>
      <c r="Q27" s="3">
        <v>0</v>
      </c>
      <c r="R27" s="3"/>
      <c r="S27" s="17">
        <f t="shared" si="3"/>
        <v>1999474</v>
      </c>
      <c r="T27" s="3"/>
      <c r="U27" s="3">
        <f>669073+20504</f>
        <v>689577</v>
      </c>
      <c r="V27" s="3"/>
      <c r="W27" s="3">
        <f>'St of Net Assets'!O27-U27</f>
        <v>0</v>
      </c>
      <c r="Y27" s="3"/>
      <c r="AC27" s="20" t="str">
        <f t="shared" si="0"/>
        <v>Eastland-Fairfield Career and Tech Center</v>
      </c>
      <c r="AD27" s="20" t="str">
        <f>GovExp!A27</f>
        <v>Eastland-Fairfield Career and Tech Center</v>
      </c>
      <c r="AE27" s="20" t="b">
        <f t="shared" si="1"/>
        <v>1</v>
      </c>
      <c r="AG27" s="3" t="str">
        <f t="shared" si="2"/>
        <v>Franklin</v>
      </c>
      <c r="AH27" s="16" t="b">
        <f>C27=GovExp!C27</f>
        <v>1</v>
      </c>
    </row>
    <row r="28" spans="1:34">
      <c r="A28" s="3" t="s">
        <v>252</v>
      </c>
      <c r="C28" s="16" t="s">
        <v>163</v>
      </c>
      <c r="E28" s="16">
        <v>51029</v>
      </c>
      <c r="G28" s="3">
        <v>0</v>
      </c>
      <c r="H28" s="3"/>
      <c r="I28" s="3">
        <v>0</v>
      </c>
      <c r="J28" s="3"/>
      <c r="K28" s="3">
        <f>1364000+1680000</f>
        <v>3044000</v>
      </c>
      <c r="L28" s="3"/>
      <c r="M28" s="3">
        <v>0</v>
      </c>
      <c r="N28" s="3"/>
      <c r="O28" s="3">
        <v>952676</v>
      </c>
      <c r="P28" s="3"/>
      <c r="Q28" s="3">
        <v>0</v>
      </c>
      <c r="R28" s="3"/>
      <c r="S28" s="17">
        <f t="shared" si="3"/>
        <v>3996676</v>
      </c>
      <c r="T28" s="3"/>
      <c r="U28" s="3">
        <v>300262</v>
      </c>
      <c r="V28" s="3"/>
      <c r="W28" s="3">
        <f>'St of Net Assets'!O28-U28</f>
        <v>0</v>
      </c>
      <c r="Y28" s="3" t="s">
        <v>383</v>
      </c>
      <c r="AC28" s="20" t="str">
        <f t="shared" si="0"/>
        <v>Ehove Career Center</v>
      </c>
      <c r="AD28" s="20" t="str">
        <f>GovExp!A28</f>
        <v>Ehove Career Center</v>
      </c>
      <c r="AE28" s="20" t="b">
        <f t="shared" si="1"/>
        <v>1</v>
      </c>
      <c r="AG28" s="3" t="str">
        <f t="shared" si="2"/>
        <v>Erie</v>
      </c>
      <c r="AH28" s="16" t="b">
        <f>C28=GovExp!C28</f>
        <v>1</v>
      </c>
    </row>
    <row r="29" spans="1:34">
      <c r="A29" s="3" t="s">
        <v>254</v>
      </c>
      <c r="C29" s="16" t="s">
        <v>215</v>
      </c>
      <c r="E29" s="16">
        <v>50963</v>
      </c>
      <c r="G29" s="3">
        <v>0</v>
      </c>
      <c r="H29" s="3"/>
      <c r="I29" s="3">
        <v>101162</v>
      </c>
      <c r="J29" s="3"/>
      <c r="K29" s="3">
        <v>0</v>
      </c>
      <c r="L29" s="3"/>
      <c r="M29" s="3">
        <v>0</v>
      </c>
      <c r="N29" s="3"/>
      <c r="O29" s="3">
        <v>1230708</v>
      </c>
      <c r="P29" s="3"/>
      <c r="Q29" s="3">
        <v>0</v>
      </c>
      <c r="R29" s="3"/>
      <c r="S29" s="17">
        <f t="shared" si="3"/>
        <v>1331870</v>
      </c>
      <c r="T29" s="3"/>
      <c r="U29" s="3">
        <v>81546</v>
      </c>
      <c r="V29" s="3"/>
      <c r="W29" s="3">
        <f>'St of Net Assets'!O29-U29</f>
        <v>0</v>
      </c>
      <c r="Y29" s="3"/>
      <c r="AC29" s="20" t="str">
        <f t="shared" si="0"/>
        <v>Four County Career Center</v>
      </c>
      <c r="AD29" s="20" t="str">
        <f>GovExp!A29</f>
        <v>Four County Career Center</v>
      </c>
      <c r="AE29" s="20" t="b">
        <f t="shared" si="1"/>
        <v>1</v>
      </c>
      <c r="AG29" s="3" t="str">
        <f t="shared" si="2"/>
        <v>Henry</v>
      </c>
      <c r="AH29" s="16" t="b">
        <f>C29=GovExp!C29</f>
        <v>1</v>
      </c>
    </row>
    <row r="30" spans="1:34">
      <c r="A30" s="3" t="s">
        <v>214</v>
      </c>
      <c r="C30" s="16" t="s">
        <v>168</v>
      </c>
      <c r="E30" s="16">
        <v>62067</v>
      </c>
      <c r="G30" s="3">
        <v>2448000</v>
      </c>
      <c r="H30" s="3"/>
      <c r="I30" s="3">
        <v>0</v>
      </c>
      <c r="J30" s="3"/>
      <c r="K30" s="3">
        <v>0</v>
      </c>
      <c r="L30" s="3"/>
      <c r="M30" s="3">
        <v>0</v>
      </c>
      <c r="N30" s="3"/>
      <c r="O30" s="3">
        <v>492334</v>
      </c>
      <c r="P30" s="3"/>
      <c r="Q30" s="3">
        <v>0</v>
      </c>
      <c r="R30" s="3"/>
      <c r="S30" s="17">
        <f t="shared" si="3"/>
        <v>2940334</v>
      </c>
      <c r="T30" s="3"/>
      <c r="U30" s="3">
        <v>235096</v>
      </c>
      <c r="V30" s="3"/>
      <c r="W30" s="3">
        <f>'St of Net Assets'!O30-U30</f>
        <v>0</v>
      </c>
      <c r="Y30" s="3"/>
      <c r="AC30" s="20" t="str">
        <f t="shared" si="0"/>
        <v>Gallia-Jackson-Vinton JVSD</v>
      </c>
      <c r="AD30" s="20" t="str">
        <f>GovExp!A30</f>
        <v>Gallia-Jackson-Vinton JVSD</v>
      </c>
      <c r="AE30" s="20" t="b">
        <f t="shared" si="1"/>
        <v>1</v>
      </c>
      <c r="AG30" s="3" t="str">
        <f t="shared" si="2"/>
        <v>Gallia</v>
      </c>
      <c r="AH30" s="16" t="b">
        <f>C30=GovExp!C30</f>
        <v>1</v>
      </c>
    </row>
    <row r="31" spans="1:34">
      <c r="A31" s="3" t="s">
        <v>327</v>
      </c>
      <c r="C31" s="16" t="s">
        <v>171</v>
      </c>
      <c r="E31" s="16">
        <v>51060</v>
      </c>
      <c r="G31" s="3">
        <f>9650000+8800000+159815</f>
        <v>18609815</v>
      </c>
      <c r="H31" s="3"/>
      <c r="I31" s="3">
        <v>0</v>
      </c>
      <c r="J31" s="3"/>
      <c r="K31" s="3">
        <v>0</v>
      </c>
      <c r="L31" s="3"/>
      <c r="M31" s="3">
        <v>0</v>
      </c>
      <c r="N31" s="3"/>
      <c r="O31" s="3">
        <v>3716330</v>
      </c>
      <c r="P31" s="3"/>
      <c r="Q31" s="3">
        <v>0</v>
      </c>
      <c r="R31" s="3"/>
      <c r="S31" s="17">
        <f t="shared" si="3"/>
        <v>22326145</v>
      </c>
      <c r="T31" s="3"/>
      <c r="U31" s="3">
        <v>1743304</v>
      </c>
      <c r="V31" s="3"/>
      <c r="W31" s="3">
        <f>'St of Net Assets'!O31-U31</f>
        <v>0</v>
      </c>
      <c r="Y31" s="3" t="s">
        <v>383</v>
      </c>
      <c r="AC31" s="20" t="str">
        <f t="shared" si="0"/>
        <v>Great Oaks Inst of Technology &amp; Career Development</v>
      </c>
      <c r="AD31" s="20" t="str">
        <f>GovExp!A31</f>
        <v>Great Oaks Inst of Technology &amp; Career Development</v>
      </c>
      <c r="AE31" s="20" t="b">
        <f t="shared" si="1"/>
        <v>1</v>
      </c>
      <c r="AG31" s="3" t="str">
        <f t="shared" si="2"/>
        <v>Hamilton</v>
      </c>
      <c r="AH31" s="16" t="b">
        <f>C31=GovExp!C31</f>
        <v>1</v>
      </c>
    </row>
    <row r="32" spans="1:34">
      <c r="A32" s="3" t="s">
        <v>386</v>
      </c>
      <c r="C32" s="16" t="s">
        <v>170</v>
      </c>
      <c r="E32" s="16">
        <v>51045</v>
      </c>
      <c r="G32" s="3">
        <v>0</v>
      </c>
      <c r="H32" s="3"/>
      <c r="I32" s="3">
        <v>150002</v>
      </c>
      <c r="J32" s="3"/>
      <c r="K32" s="3">
        <v>0</v>
      </c>
      <c r="L32" s="3"/>
      <c r="M32" s="3">
        <v>0</v>
      </c>
      <c r="N32" s="3"/>
      <c r="O32" s="3">
        <v>558712</v>
      </c>
      <c r="P32" s="3"/>
      <c r="Q32" s="3">
        <v>0</v>
      </c>
      <c r="R32" s="3"/>
      <c r="S32" s="17">
        <f t="shared" si="3"/>
        <v>708714</v>
      </c>
      <c r="T32" s="3"/>
      <c r="U32" s="3">
        <v>104878</v>
      </c>
      <c r="V32" s="3"/>
      <c r="W32" s="3">
        <f>'St of Net Assets'!O32-U32</f>
        <v>0</v>
      </c>
      <c r="Y32" s="3"/>
      <c r="AC32" s="20" t="str">
        <f t="shared" si="0"/>
        <v>Greene County VSD</v>
      </c>
      <c r="AD32" s="20" t="str">
        <f>GovExp!A32</f>
        <v>Greene County VSD</v>
      </c>
      <c r="AE32" s="20" t="b">
        <f t="shared" si="1"/>
        <v>1</v>
      </c>
      <c r="AG32" s="3" t="str">
        <f t="shared" si="2"/>
        <v>Greene</v>
      </c>
      <c r="AH32" s="16" t="b">
        <f>C32=GovExp!C32</f>
        <v>1</v>
      </c>
    </row>
    <row r="33" spans="1:34">
      <c r="A33" s="3" t="s">
        <v>216</v>
      </c>
      <c r="C33" s="16" t="s">
        <v>173</v>
      </c>
      <c r="E33" s="16">
        <v>51128</v>
      </c>
      <c r="G33" s="3">
        <v>1006156</v>
      </c>
      <c r="H33" s="3"/>
      <c r="I33" s="3">
        <v>0</v>
      </c>
      <c r="J33" s="3"/>
      <c r="K33" s="3">
        <v>0</v>
      </c>
      <c r="L33" s="3"/>
      <c r="M33" s="3">
        <v>0</v>
      </c>
      <c r="N33" s="3"/>
      <c r="O33" s="3">
        <v>356577</v>
      </c>
      <c r="P33" s="3"/>
      <c r="Q33" s="3">
        <v>0</v>
      </c>
      <c r="R33" s="3"/>
      <c r="S33" s="17">
        <f t="shared" si="3"/>
        <v>1362733</v>
      </c>
      <c r="T33" s="3"/>
      <c r="U33" s="3">
        <v>80580</v>
      </c>
      <c r="V33" s="3"/>
      <c r="W33" s="3">
        <f>'St of Net Assets'!O33-U33</f>
        <v>0</v>
      </c>
      <c r="Y33" s="3"/>
      <c r="AC33" s="20" t="str">
        <f t="shared" si="0"/>
        <v>Jefferson County JVSD</v>
      </c>
      <c r="AD33" s="20" t="str">
        <f>GovExp!A33</f>
        <v>Jefferson County JVSD</v>
      </c>
      <c r="AE33" s="20" t="b">
        <f t="shared" si="1"/>
        <v>1</v>
      </c>
      <c r="AG33" s="3" t="str">
        <f t="shared" si="2"/>
        <v>Jefferson</v>
      </c>
      <c r="AH33" s="16" t="b">
        <f>C33=GovExp!C33</f>
        <v>1</v>
      </c>
    </row>
    <row r="34" spans="1:34">
      <c r="A34" s="3" t="s">
        <v>255</v>
      </c>
      <c r="C34" s="16" t="s">
        <v>174</v>
      </c>
      <c r="E34" s="16">
        <v>51144</v>
      </c>
      <c r="G34" s="3">
        <v>82502</v>
      </c>
      <c r="H34" s="3"/>
      <c r="I34" s="3">
        <v>4169000</v>
      </c>
      <c r="J34" s="3"/>
      <c r="K34" s="3">
        <v>0</v>
      </c>
      <c r="L34" s="3"/>
      <c r="M34" s="3">
        <v>10416</v>
      </c>
      <c r="N34" s="3"/>
      <c r="O34" s="3">
        <v>469875</v>
      </c>
      <c r="P34" s="3"/>
      <c r="Q34" s="3">
        <v>0</v>
      </c>
      <c r="R34" s="3"/>
      <c r="S34" s="17">
        <f t="shared" si="3"/>
        <v>4731793</v>
      </c>
      <c r="T34" s="3"/>
      <c r="U34" s="3">
        <v>300038</v>
      </c>
      <c r="V34" s="3"/>
      <c r="W34" s="3">
        <f>'St of Net Assets'!O34-U34</f>
        <v>0</v>
      </c>
      <c r="Y34" s="3"/>
      <c r="AC34" s="20" t="str">
        <f t="shared" si="0"/>
        <v>Knox County Career Center</v>
      </c>
      <c r="AD34" s="20" t="str">
        <f>GovExp!A34</f>
        <v>Knox County Career Center</v>
      </c>
      <c r="AE34" s="20" t="b">
        <f t="shared" si="1"/>
        <v>1</v>
      </c>
      <c r="AG34" s="3" t="str">
        <f t="shared" si="2"/>
        <v>Knox</v>
      </c>
      <c r="AH34" s="16" t="b">
        <f>C34=GovExp!C34</f>
        <v>1</v>
      </c>
    </row>
    <row r="35" spans="1:34">
      <c r="A35" s="3" t="s">
        <v>217</v>
      </c>
      <c r="C35" s="16" t="s">
        <v>175</v>
      </c>
      <c r="E35" s="16">
        <v>51185</v>
      </c>
      <c r="G35" s="3">
        <f>1335000+5747770</f>
        <v>7082770</v>
      </c>
      <c r="H35" s="3"/>
      <c r="I35" s="3">
        <v>0</v>
      </c>
      <c r="J35" s="3"/>
      <c r="K35" s="3">
        <v>0</v>
      </c>
      <c r="L35" s="3"/>
      <c r="M35" s="3">
        <v>0</v>
      </c>
      <c r="N35" s="3"/>
      <c r="O35" s="3">
        <v>432058</v>
      </c>
      <c r="P35" s="3"/>
      <c r="Q35" s="3">
        <v>0</v>
      </c>
      <c r="R35" s="3"/>
      <c r="S35" s="17">
        <f t="shared" si="3"/>
        <v>7514828</v>
      </c>
      <c r="T35" s="3"/>
      <c r="U35" s="3">
        <v>427590</v>
      </c>
      <c r="V35" s="3"/>
      <c r="W35" s="3">
        <f>'St of Net Assets'!O35-U35</f>
        <v>0</v>
      </c>
      <c r="Y35" s="3"/>
      <c r="AC35" s="20" t="str">
        <f t="shared" si="0"/>
        <v>Lawrence County JVSD</v>
      </c>
      <c r="AD35" s="20" t="str">
        <f>GovExp!A35</f>
        <v>Lawrence County JVSD</v>
      </c>
      <c r="AE35" s="20" t="b">
        <f t="shared" si="1"/>
        <v>1</v>
      </c>
      <c r="AG35" s="3" t="str">
        <f t="shared" si="2"/>
        <v>Lawrence</v>
      </c>
      <c r="AH35" s="16" t="b">
        <f>C35=GovExp!C35</f>
        <v>1</v>
      </c>
    </row>
    <row r="36" spans="1:34" s="66" customFormat="1" hidden="1">
      <c r="A36" s="65" t="s">
        <v>308</v>
      </c>
      <c r="C36" s="66" t="s">
        <v>176</v>
      </c>
      <c r="E36" s="66">
        <v>47977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7">
        <f t="shared" si="3"/>
        <v>0</v>
      </c>
      <c r="T36" s="65"/>
      <c r="U36" s="65"/>
      <c r="V36" s="65"/>
      <c r="W36" s="65">
        <f>'St of Net Assets'!O36-U36</f>
        <v>0</v>
      </c>
      <c r="Y36" s="65" t="s">
        <v>389</v>
      </c>
      <c r="AC36" s="68" t="str">
        <f t="shared" si="0"/>
        <v>Licking Co Career &amp; Tech Center</v>
      </c>
      <c r="AD36" s="68" t="str">
        <f>GovExp!A36</f>
        <v>Licking Co Career &amp; Tech Center</v>
      </c>
      <c r="AE36" s="68" t="b">
        <f t="shared" si="1"/>
        <v>1</v>
      </c>
      <c r="AG36" s="65" t="str">
        <f t="shared" si="2"/>
        <v>Licking</v>
      </c>
      <c r="AH36" s="66" t="b">
        <f>C36=GovExp!C36</f>
        <v>1</v>
      </c>
    </row>
    <row r="37" spans="1:34">
      <c r="A37" s="3" t="s">
        <v>219</v>
      </c>
      <c r="C37" s="16" t="s">
        <v>145</v>
      </c>
      <c r="E37" s="16">
        <v>51227</v>
      </c>
      <c r="G37" s="3">
        <v>0</v>
      </c>
      <c r="H37" s="3"/>
      <c r="I37" s="3">
        <v>0</v>
      </c>
      <c r="J37" s="3"/>
      <c r="K37" s="3">
        <v>0</v>
      </c>
      <c r="L37" s="3"/>
      <c r="M37" s="3">
        <v>0</v>
      </c>
      <c r="N37" s="3"/>
      <c r="O37" s="3">
        <v>3934339</v>
      </c>
      <c r="P37" s="3"/>
      <c r="Q37" s="3">
        <v>0</v>
      </c>
      <c r="R37" s="3"/>
      <c r="S37" s="17">
        <f t="shared" si="3"/>
        <v>3934339</v>
      </c>
      <c r="T37" s="3"/>
      <c r="U37" s="3">
        <v>687950</v>
      </c>
      <c r="V37" s="3"/>
      <c r="W37" s="3">
        <f>'St of Net Assets'!O37-U37</f>
        <v>0</v>
      </c>
      <c r="Y37" s="3" t="s">
        <v>383</v>
      </c>
      <c r="AC37" s="20" t="str">
        <f t="shared" si="0"/>
        <v>Lorain County JVSD</v>
      </c>
      <c r="AD37" s="20" t="str">
        <f>GovExp!A37</f>
        <v>Lorain County JVSD</v>
      </c>
      <c r="AE37" s="20" t="b">
        <f t="shared" si="1"/>
        <v>1</v>
      </c>
      <c r="AG37" s="3" t="str">
        <f t="shared" si="2"/>
        <v>Lorain</v>
      </c>
      <c r="AH37" s="16" t="b">
        <f>C37=GovExp!C37</f>
        <v>1</v>
      </c>
    </row>
    <row r="38" spans="1:34">
      <c r="A38" s="3" t="s">
        <v>309</v>
      </c>
      <c r="C38" s="16" t="s">
        <v>179</v>
      </c>
      <c r="E38" s="16">
        <v>51243</v>
      </c>
      <c r="G38" s="3">
        <v>0</v>
      </c>
      <c r="H38" s="3"/>
      <c r="I38" s="3">
        <v>0</v>
      </c>
      <c r="J38" s="3"/>
      <c r="K38" s="3">
        <v>14196232</v>
      </c>
      <c r="L38" s="3"/>
      <c r="M38" s="3">
        <v>0</v>
      </c>
      <c r="N38" s="3"/>
      <c r="O38" s="3">
        <v>1266971</v>
      </c>
      <c r="P38" s="3"/>
      <c r="Q38" s="3">
        <v>0</v>
      </c>
      <c r="R38" s="3"/>
      <c r="S38" s="17">
        <f t="shared" si="3"/>
        <v>15463203</v>
      </c>
      <c r="T38" s="3"/>
      <c r="U38" s="3">
        <v>423977</v>
      </c>
      <c r="V38" s="3"/>
      <c r="W38" s="3">
        <f>'St of Net Assets'!O38-U38</f>
        <v>0</v>
      </c>
      <c r="Y38" s="3"/>
      <c r="AC38" s="20" t="str">
        <f t="shared" si="0"/>
        <v>Mahoning Co Career &amp; Tech Center</v>
      </c>
      <c r="AD38" s="20" t="str">
        <f>GovExp!A38</f>
        <v>Mahoning Co Career &amp; Tech Center</v>
      </c>
      <c r="AE38" s="20" t="b">
        <f t="shared" si="1"/>
        <v>1</v>
      </c>
      <c r="AG38" s="3" t="str">
        <f t="shared" si="2"/>
        <v>Mahoning</v>
      </c>
      <c r="AH38" s="16" t="b">
        <f>C38=GovExp!C38</f>
        <v>1</v>
      </c>
    </row>
    <row r="39" spans="1:34">
      <c r="A39" s="3" t="s">
        <v>256</v>
      </c>
      <c r="C39" s="16" t="s">
        <v>190</v>
      </c>
      <c r="E39" s="16">
        <v>51391</v>
      </c>
      <c r="G39" s="3">
        <v>0</v>
      </c>
      <c r="H39" s="3"/>
      <c r="I39" s="3">
        <v>0</v>
      </c>
      <c r="J39" s="3"/>
      <c r="K39" s="3">
        <v>0</v>
      </c>
      <c r="L39" s="3"/>
      <c r="M39" s="3">
        <v>0</v>
      </c>
      <c r="N39" s="3"/>
      <c r="O39" s="3">
        <v>1310012</v>
      </c>
      <c r="P39" s="3"/>
      <c r="Q39" s="3">
        <v>0</v>
      </c>
      <c r="R39" s="3"/>
      <c r="S39" s="17">
        <f t="shared" si="3"/>
        <v>1310012</v>
      </c>
      <c r="T39" s="3"/>
      <c r="U39" s="3">
        <v>73840</v>
      </c>
      <c r="V39" s="3"/>
      <c r="W39" s="3">
        <f>'St of Net Assets'!O39-U39</f>
        <v>0</v>
      </c>
      <c r="Y39" s="3"/>
      <c r="AC39" s="20" t="str">
        <f t="shared" si="0"/>
        <v>Maplewood Career Center</v>
      </c>
      <c r="AD39" s="20" t="str">
        <f>GovExp!A39</f>
        <v>Maplewood Career Center</v>
      </c>
      <c r="AE39" s="20" t="b">
        <f t="shared" si="1"/>
        <v>1</v>
      </c>
      <c r="AG39" s="3" t="str">
        <f t="shared" si="2"/>
        <v>Portage</v>
      </c>
      <c r="AH39" s="16" t="b">
        <f>C39=GovExp!C39</f>
        <v>1</v>
      </c>
    </row>
    <row r="40" spans="1:34">
      <c r="A40" s="3" t="s">
        <v>223</v>
      </c>
      <c r="C40" s="16" t="s">
        <v>181</v>
      </c>
      <c r="E40" s="16">
        <v>62109</v>
      </c>
      <c r="G40" s="3">
        <v>0</v>
      </c>
      <c r="H40" s="3"/>
      <c r="I40" s="3">
        <v>0</v>
      </c>
      <c r="J40" s="3"/>
      <c r="K40" s="3">
        <v>242339</v>
      </c>
      <c r="L40" s="3"/>
      <c r="M40" s="3">
        <v>0</v>
      </c>
      <c r="N40" s="3"/>
      <c r="O40" s="3">
        <v>1577269</v>
      </c>
      <c r="P40" s="3"/>
      <c r="Q40" s="3">
        <v>0</v>
      </c>
      <c r="R40" s="3"/>
      <c r="S40" s="17">
        <f t="shared" si="3"/>
        <v>1819608</v>
      </c>
      <c r="T40" s="3"/>
      <c r="U40" s="3">
        <v>183807</v>
      </c>
      <c r="V40" s="3"/>
      <c r="W40" s="3">
        <f>'St of Net Assets'!O40-U40</f>
        <v>0</v>
      </c>
      <c r="Y40" s="3"/>
      <c r="AC40" s="20" t="str">
        <f t="shared" si="0"/>
        <v>Medina County JVSD</v>
      </c>
      <c r="AD40" s="20" t="str">
        <f>GovExp!A40</f>
        <v>Medina County JVSD</v>
      </c>
      <c r="AE40" s="20" t="b">
        <f t="shared" si="1"/>
        <v>1</v>
      </c>
      <c r="AG40" s="3" t="str">
        <f t="shared" si="2"/>
        <v>Medina</v>
      </c>
      <c r="AH40" s="16" t="b">
        <f>C40=GovExp!C40</f>
        <v>1</v>
      </c>
    </row>
    <row r="41" spans="1:34">
      <c r="A41" s="3" t="s">
        <v>310</v>
      </c>
      <c r="C41" s="16" t="s">
        <v>184</v>
      </c>
      <c r="E41" s="16">
        <v>51284</v>
      </c>
      <c r="G41" s="3">
        <v>6728695</v>
      </c>
      <c r="H41" s="3"/>
      <c r="I41" s="3">
        <v>0</v>
      </c>
      <c r="J41" s="3"/>
      <c r="K41" s="3">
        <v>0</v>
      </c>
      <c r="L41" s="3"/>
      <c r="M41" s="3">
        <v>0</v>
      </c>
      <c r="N41" s="3"/>
      <c r="O41" s="3">
        <v>3447335</v>
      </c>
      <c r="P41" s="3"/>
      <c r="Q41" s="3">
        <v>0</v>
      </c>
      <c r="R41" s="3"/>
      <c r="S41" s="17">
        <f t="shared" si="3"/>
        <v>10176030</v>
      </c>
      <c r="T41" s="3"/>
      <c r="U41" s="3">
        <v>655011</v>
      </c>
      <c r="V41" s="3"/>
      <c r="W41" s="3">
        <f>'St of Net Assets'!O41-U41</f>
        <v>0</v>
      </c>
      <c r="Y41" s="3" t="s">
        <v>396</v>
      </c>
      <c r="AC41" s="20" t="str">
        <f t="shared" si="0"/>
        <v>Miami Valley Career Tech Center</v>
      </c>
      <c r="AD41" s="20" t="str">
        <f>GovExp!A41</f>
        <v>Miami Valley Career Tech Center</v>
      </c>
      <c r="AE41" s="20" t="b">
        <f t="shared" si="1"/>
        <v>1</v>
      </c>
      <c r="AG41" s="3" t="str">
        <f t="shared" si="2"/>
        <v>Montgomery</v>
      </c>
      <c r="AH41" s="16" t="b">
        <f>C41=GovExp!C41</f>
        <v>1</v>
      </c>
    </row>
    <row r="42" spans="1:34">
      <c r="A42" s="3" t="s">
        <v>397</v>
      </c>
      <c r="C42" s="16" t="s">
        <v>186</v>
      </c>
      <c r="E42" s="16">
        <v>51300</v>
      </c>
      <c r="G42" s="3">
        <v>0</v>
      </c>
      <c r="H42" s="3"/>
      <c r="I42" s="3">
        <v>12228468</v>
      </c>
      <c r="J42" s="3"/>
      <c r="K42" s="3">
        <v>7363323</v>
      </c>
      <c r="L42" s="3"/>
      <c r="M42" s="3">
        <v>46496</v>
      </c>
      <c r="N42" s="3"/>
      <c r="O42" s="3">
        <v>549163</v>
      </c>
      <c r="P42" s="3"/>
      <c r="Q42" s="3">
        <v>0</v>
      </c>
      <c r="R42" s="3"/>
      <c r="S42" s="17">
        <f t="shared" si="3"/>
        <v>20187450</v>
      </c>
      <c r="T42" s="3"/>
      <c r="U42" s="3">
        <v>1904836</v>
      </c>
      <c r="V42" s="3"/>
      <c r="W42" s="3">
        <f>'St of Net Assets'!O42-U42</f>
        <v>0</v>
      </c>
      <c r="Y42" s="3"/>
      <c r="AC42" s="20" t="str">
        <f t="shared" si="0"/>
        <v>Mid-East Career &amp; Tech Centers</v>
      </c>
      <c r="AD42" s="20" t="str">
        <f>GovExp!A42</f>
        <v>Mid-East Career &amp; Tech Centers</v>
      </c>
      <c r="AE42" s="20" t="b">
        <f t="shared" si="1"/>
        <v>1</v>
      </c>
      <c r="AG42" s="3" t="str">
        <f t="shared" si="2"/>
        <v>Muskingum</v>
      </c>
      <c r="AH42" s="16" t="b">
        <f>C42=GovExp!C42</f>
        <v>1</v>
      </c>
    </row>
    <row r="43" spans="1:34">
      <c r="A43" s="3" t="s">
        <v>218</v>
      </c>
      <c r="C43" s="16" t="s">
        <v>177</v>
      </c>
      <c r="E43" s="16">
        <v>51334</v>
      </c>
      <c r="G43" s="3">
        <v>1125000</v>
      </c>
      <c r="H43" s="3"/>
      <c r="I43" s="3">
        <v>300003</v>
      </c>
      <c r="J43" s="3"/>
      <c r="K43" s="3">
        <v>0</v>
      </c>
      <c r="L43" s="3"/>
      <c r="M43" s="3">
        <v>0</v>
      </c>
      <c r="N43" s="3"/>
      <c r="O43" s="3">
        <v>823837</v>
      </c>
      <c r="P43" s="3"/>
      <c r="Q43" s="3">
        <v>0</v>
      </c>
      <c r="R43" s="3"/>
      <c r="S43" s="17">
        <f t="shared" si="3"/>
        <v>2248840</v>
      </c>
      <c r="T43" s="3"/>
      <c r="U43" s="3">
        <v>391304</v>
      </c>
      <c r="V43" s="3"/>
      <c r="W43" s="3">
        <f>'St of Net Assets'!O43-U43</f>
        <v>0</v>
      </c>
      <c r="Y43" s="32" t="s">
        <v>401</v>
      </c>
      <c r="AC43" s="20" t="str">
        <f t="shared" si="0"/>
        <v>Ohio Hi-Point JVSD</v>
      </c>
      <c r="AD43" s="20" t="str">
        <f>GovExp!A43</f>
        <v>Ohio Hi-Point JVSD</v>
      </c>
      <c r="AE43" s="20" t="b">
        <f t="shared" si="1"/>
        <v>1</v>
      </c>
      <c r="AG43" s="3" t="str">
        <f t="shared" si="2"/>
        <v>Logan</v>
      </c>
      <c r="AH43" s="16" t="b">
        <f>C43=GovExp!C43</f>
        <v>1</v>
      </c>
    </row>
    <row r="44" spans="1:34">
      <c r="A44" s="3" t="s">
        <v>402</v>
      </c>
      <c r="C44" s="16" t="s">
        <v>209</v>
      </c>
      <c r="E44" s="16">
        <v>51359</v>
      </c>
      <c r="G44" s="3">
        <f>425000+56165000+784475</f>
        <v>57374475</v>
      </c>
      <c r="H44" s="3"/>
      <c r="I44" s="3">
        <v>0</v>
      </c>
      <c r="J44" s="3"/>
      <c r="K44" s="3">
        <v>0</v>
      </c>
      <c r="L44" s="3"/>
      <c r="M44" s="3">
        <v>43589</v>
      </c>
      <c r="N44" s="3"/>
      <c r="O44" s="3">
        <v>2916183</v>
      </c>
      <c r="P44" s="3"/>
      <c r="Q44" s="3">
        <v>0</v>
      </c>
      <c r="R44" s="3"/>
      <c r="S44" s="17">
        <f t="shared" si="3"/>
        <v>60334247</v>
      </c>
      <c r="T44" s="3"/>
      <c r="U44" s="3">
        <v>2312744</v>
      </c>
      <c r="V44" s="3"/>
      <c r="W44" s="3">
        <f>'St of Net Assets'!O44-U44</f>
        <v>0</v>
      </c>
      <c r="Y44" s="32" t="s">
        <v>403</v>
      </c>
      <c r="AC44" s="20" t="str">
        <f t="shared" si="0"/>
        <v>Penta Career Center</v>
      </c>
      <c r="AD44" s="20" t="str">
        <f>GovExp!A44</f>
        <v>Penta Career Center</v>
      </c>
      <c r="AE44" s="20" t="b">
        <f t="shared" si="1"/>
        <v>1</v>
      </c>
      <c r="AG44" s="3" t="str">
        <f t="shared" si="2"/>
        <v>Wood</v>
      </c>
      <c r="AH44" s="16" t="b">
        <f>C44=GovExp!C44</f>
        <v>1</v>
      </c>
    </row>
    <row r="45" spans="1:34">
      <c r="A45" s="3" t="s">
        <v>407</v>
      </c>
      <c r="C45" s="16" t="s">
        <v>194</v>
      </c>
      <c r="E45" s="16">
        <v>51433</v>
      </c>
      <c r="G45" s="3">
        <v>0</v>
      </c>
      <c r="H45" s="3"/>
      <c r="I45" s="3">
        <v>0</v>
      </c>
      <c r="J45" s="3"/>
      <c r="K45" s="3">
        <v>0</v>
      </c>
      <c r="L45" s="3"/>
      <c r="M45" s="3">
        <v>3001750</v>
      </c>
      <c r="N45" s="3"/>
      <c r="O45" s="3">
        <v>1520049</v>
      </c>
      <c r="P45" s="3"/>
      <c r="Q45" s="3">
        <v>0</v>
      </c>
      <c r="R45" s="3"/>
      <c r="S45" s="17">
        <f t="shared" si="3"/>
        <v>4521799</v>
      </c>
      <c r="T45" s="3"/>
      <c r="U45" s="3">
        <v>526964</v>
      </c>
      <c r="V45" s="3"/>
      <c r="W45" s="3">
        <f>'St of Net Assets'!O45-U45</f>
        <v>0</v>
      </c>
      <c r="Y45" s="3"/>
      <c r="AC45" s="20" t="str">
        <f t="shared" si="0"/>
        <v>Pickaway-Ross Career &amp; Tech Center</v>
      </c>
      <c r="AD45" s="20" t="str">
        <f>GovExp!A45</f>
        <v>Pickaway-Ross Career &amp; Tech Center</v>
      </c>
      <c r="AE45" s="20" t="b">
        <f t="shared" si="1"/>
        <v>1</v>
      </c>
      <c r="AG45" s="3" t="str">
        <f t="shared" si="2"/>
        <v>Ross</v>
      </c>
      <c r="AH45" s="16" t="b">
        <f>C45=GovExp!C45</f>
        <v>1</v>
      </c>
    </row>
    <row r="46" spans="1:34">
      <c r="A46" s="3" t="s">
        <v>257</v>
      </c>
      <c r="C46" s="16" t="s">
        <v>225</v>
      </c>
      <c r="E46" s="16">
        <v>51375</v>
      </c>
      <c r="G46" s="3">
        <v>0</v>
      </c>
      <c r="H46" s="3"/>
      <c r="I46" s="3">
        <v>107679</v>
      </c>
      <c r="J46" s="3"/>
      <c r="K46" s="3">
        <v>0</v>
      </c>
      <c r="L46" s="3"/>
      <c r="M46" s="3">
        <v>3154000</v>
      </c>
      <c r="N46" s="3"/>
      <c r="O46" s="3">
        <v>398362</v>
      </c>
      <c r="P46" s="3"/>
      <c r="Q46" s="3">
        <v>0</v>
      </c>
      <c r="R46" s="3"/>
      <c r="S46" s="17">
        <f t="shared" si="3"/>
        <v>3660041</v>
      </c>
      <c r="T46" s="3"/>
      <c r="U46" s="3">
        <v>219658</v>
      </c>
      <c r="V46" s="3"/>
      <c r="W46" s="3">
        <f>'St of Net Assets'!O46-U46</f>
        <v>0</v>
      </c>
      <c r="Y46" s="3"/>
      <c r="AC46" s="20" t="str">
        <f t="shared" si="0"/>
        <v>Pike County JVSD</v>
      </c>
      <c r="AD46" s="20" t="str">
        <f>GovExp!A46</f>
        <v>Pike County JVSD</v>
      </c>
      <c r="AE46" s="20" t="b">
        <f t="shared" si="1"/>
        <v>1</v>
      </c>
      <c r="AG46" s="3" t="str">
        <f t="shared" si="2"/>
        <v>Pike</v>
      </c>
      <c r="AH46" s="16" t="b">
        <f>C46=GovExp!C46</f>
        <v>1</v>
      </c>
    </row>
    <row r="47" spans="1:34">
      <c r="A47" s="3" t="s">
        <v>311</v>
      </c>
      <c r="C47" s="16" t="s">
        <v>193</v>
      </c>
      <c r="E47" s="16">
        <v>51417</v>
      </c>
      <c r="G47" s="3">
        <f>295000+11525000-178418</f>
        <v>11641582</v>
      </c>
      <c r="H47" s="3"/>
      <c r="I47" s="3">
        <v>0</v>
      </c>
      <c r="J47" s="3"/>
      <c r="K47" s="3">
        <v>0</v>
      </c>
      <c r="L47" s="3"/>
      <c r="M47" s="3">
        <v>127692</v>
      </c>
      <c r="N47" s="3"/>
      <c r="O47" s="3">
        <v>1358358</v>
      </c>
      <c r="P47" s="3"/>
      <c r="Q47" s="3">
        <v>0</v>
      </c>
      <c r="R47" s="3"/>
      <c r="S47" s="17">
        <f t="shared" si="3"/>
        <v>13127632</v>
      </c>
      <c r="T47" s="3"/>
      <c r="U47" s="3">
        <v>640310</v>
      </c>
      <c r="V47" s="3"/>
      <c r="W47" s="3">
        <f>'St of Net Assets'!O47-U47</f>
        <v>0</v>
      </c>
      <c r="Y47" s="32"/>
      <c r="AC47" s="20" t="str">
        <f t="shared" si="0"/>
        <v>Pioneer Career &amp; Tech Center</v>
      </c>
      <c r="AD47" s="20" t="str">
        <f>GovExp!A47</f>
        <v>Pioneer Career &amp; Tech Center</v>
      </c>
      <c r="AE47" s="20" t="b">
        <f t="shared" si="1"/>
        <v>1</v>
      </c>
      <c r="AG47" s="3" t="str">
        <f t="shared" si="2"/>
        <v>Richland</v>
      </c>
      <c r="AH47" s="16" t="b">
        <f>C47=GovExp!C47</f>
        <v>1</v>
      </c>
    </row>
    <row r="48" spans="1:34">
      <c r="A48" s="3" t="s">
        <v>258</v>
      </c>
      <c r="C48" s="16" t="s">
        <v>160</v>
      </c>
      <c r="E48" s="16">
        <v>50948</v>
      </c>
      <c r="G48" s="3">
        <v>0</v>
      </c>
      <c r="H48" s="3"/>
      <c r="I48" s="3">
        <v>0</v>
      </c>
      <c r="J48" s="3"/>
      <c r="K48" s="3">
        <v>0</v>
      </c>
      <c r="L48" s="3"/>
      <c r="M48" s="3">
        <v>0</v>
      </c>
      <c r="N48" s="3"/>
      <c r="O48" s="3">
        <v>1765114</v>
      </c>
      <c r="P48" s="3"/>
      <c r="Q48" s="3">
        <v>0</v>
      </c>
      <c r="R48" s="3"/>
      <c r="S48" s="17">
        <f t="shared" si="3"/>
        <v>1765114</v>
      </c>
      <c r="T48" s="3"/>
      <c r="U48" s="3">
        <v>715071</v>
      </c>
      <c r="V48" s="3"/>
      <c r="W48" s="3">
        <f>'St of Net Assets'!O48-U48</f>
        <v>0</v>
      </c>
      <c r="Y48" s="3"/>
      <c r="AC48" s="20" t="str">
        <f t="shared" si="0"/>
        <v>Polaris Career Center</v>
      </c>
      <c r="AD48" s="20" t="str">
        <f>GovExp!A48</f>
        <v>Polaris Career Center</v>
      </c>
      <c r="AE48" s="20" t="b">
        <f t="shared" si="1"/>
        <v>1</v>
      </c>
      <c r="AG48" s="3" t="str">
        <f t="shared" si="2"/>
        <v>Cuyahoga</v>
      </c>
      <c r="AH48" s="16" t="b">
        <f>C48=GovExp!C48</f>
        <v>1</v>
      </c>
    </row>
    <row r="49" spans="1:34">
      <c r="A49" s="3" t="s">
        <v>259</v>
      </c>
      <c r="C49" s="16" t="s">
        <v>200</v>
      </c>
      <c r="E49" s="16">
        <v>63495</v>
      </c>
      <c r="G49" s="3">
        <v>0</v>
      </c>
      <c r="H49" s="3"/>
      <c r="I49" s="3">
        <v>266669</v>
      </c>
      <c r="J49" s="3"/>
      <c r="K49" s="3">
        <v>0</v>
      </c>
      <c r="L49" s="3"/>
      <c r="M49" s="3">
        <v>0</v>
      </c>
      <c r="N49" s="3"/>
      <c r="O49" s="3">
        <v>529831</v>
      </c>
      <c r="P49" s="3"/>
      <c r="Q49" s="3">
        <v>0</v>
      </c>
      <c r="R49" s="3"/>
      <c r="S49" s="17">
        <f t="shared" si="3"/>
        <v>796500</v>
      </c>
      <c r="T49" s="3"/>
      <c r="U49" s="3">
        <v>105539</v>
      </c>
      <c r="V49" s="3"/>
      <c r="W49" s="3">
        <f>'St of Net Assets'!O49-U49</f>
        <v>0</v>
      </c>
      <c r="Y49" s="3"/>
      <c r="AC49" s="20" t="str">
        <f t="shared" si="0"/>
        <v>Portage Lakes Career Center</v>
      </c>
      <c r="AD49" s="20" t="str">
        <f>GovExp!A49</f>
        <v>Portage Lakes Career Center</v>
      </c>
      <c r="AE49" s="20" t="b">
        <f t="shared" si="1"/>
        <v>1</v>
      </c>
      <c r="AG49" s="3" t="str">
        <f t="shared" si="2"/>
        <v>Summit</v>
      </c>
      <c r="AH49" s="16" t="b">
        <f>C49=GovExp!C49</f>
        <v>1</v>
      </c>
    </row>
    <row r="50" spans="1:34">
      <c r="A50" s="3" t="s">
        <v>260</v>
      </c>
      <c r="C50" s="16" t="s">
        <v>196</v>
      </c>
      <c r="E50" s="16">
        <v>51490</v>
      </c>
      <c r="G50" s="3">
        <v>0</v>
      </c>
      <c r="H50" s="3"/>
      <c r="I50" s="3">
        <v>116800</v>
      </c>
      <c r="J50" s="3"/>
      <c r="K50" s="3">
        <v>0</v>
      </c>
      <c r="L50" s="3"/>
      <c r="M50" s="3">
        <v>3150000</v>
      </c>
      <c r="N50" s="3"/>
      <c r="O50" s="3">
        <v>468795</v>
      </c>
      <c r="P50" s="3"/>
      <c r="Q50" s="3">
        <v>0</v>
      </c>
      <c r="R50" s="3"/>
      <c r="S50" s="17">
        <f t="shared" si="3"/>
        <v>3735595</v>
      </c>
      <c r="T50" s="3"/>
      <c r="U50" s="3">
        <v>165397</v>
      </c>
      <c r="V50" s="3"/>
      <c r="W50" s="3">
        <f>'St of Net Assets'!O50-U50</f>
        <v>0</v>
      </c>
      <c r="Y50" s="3"/>
      <c r="AC50" s="20" t="str">
        <f t="shared" si="0"/>
        <v>Scioto County JVSD</v>
      </c>
      <c r="AD50" s="20" t="str">
        <f>GovExp!A50</f>
        <v>Scioto County JVSD</v>
      </c>
      <c r="AE50" s="20" t="b">
        <f t="shared" si="1"/>
        <v>1</v>
      </c>
      <c r="AG50" s="3" t="str">
        <f t="shared" si="2"/>
        <v>Scioto</v>
      </c>
      <c r="AH50" s="16" t="b">
        <f>C50=GovExp!C50</f>
        <v>1</v>
      </c>
    </row>
    <row r="51" spans="1:34">
      <c r="A51" s="3" t="s">
        <v>211</v>
      </c>
      <c r="C51" s="16" t="s">
        <v>153</v>
      </c>
      <c r="E51" s="16">
        <v>50799</v>
      </c>
      <c r="G51" s="3">
        <v>0</v>
      </c>
      <c r="H51" s="3"/>
      <c r="I51" s="3">
        <v>300002</v>
      </c>
      <c r="J51" s="3"/>
      <c r="K51" s="3">
        <v>0</v>
      </c>
      <c r="L51" s="3"/>
      <c r="M51" s="3">
        <v>2949264</v>
      </c>
      <c r="N51" s="3"/>
      <c r="O51" s="3">
        <v>383044</v>
      </c>
      <c r="P51" s="3"/>
      <c r="Q51" s="3">
        <v>0</v>
      </c>
      <c r="R51" s="3"/>
      <c r="S51" s="17">
        <f t="shared" si="3"/>
        <v>3632310</v>
      </c>
      <c r="T51" s="3"/>
      <c r="U51" s="3">
        <v>235936</v>
      </c>
      <c r="V51" s="3"/>
      <c r="W51" s="3">
        <f>'St of Net Assets'!O51-U51</f>
        <v>0</v>
      </c>
      <c r="Y51" s="3"/>
      <c r="AC51" s="20" t="str">
        <f t="shared" si="0"/>
        <v>Southern Hills JVSD</v>
      </c>
      <c r="AD51" s="20" t="str">
        <f>GovExp!A51</f>
        <v>Southern Hills JVSD</v>
      </c>
      <c r="AE51" s="20" t="b">
        <f t="shared" si="1"/>
        <v>1</v>
      </c>
      <c r="AG51" s="3" t="str">
        <f t="shared" si="2"/>
        <v>Brown</v>
      </c>
      <c r="AH51" s="16" t="b">
        <f>C51=GovExp!C51</f>
        <v>1</v>
      </c>
    </row>
    <row r="52" spans="1:34">
      <c r="A52" s="3" t="s">
        <v>286</v>
      </c>
      <c r="C52" s="16" t="s">
        <v>155</v>
      </c>
      <c r="E52" s="16">
        <v>51532</v>
      </c>
      <c r="G52" s="3">
        <v>305000</v>
      </c>
      <c r="H52" s="3"/>
      <c r="I52" s="3">
        <v>14348</v>
      </c>
      <c r="J52" s="3"/>
      <c r="K52" s="3">
        <v>0</v>
      </c>
      <c r="L52" s="3"/>
      <c r="M52" s="3">
        <v>2864601</v>
      </c>
      <c r="N52" s="3"/>
      <c r="O52" s="3">
        <v>697533</v>
      </c>
      <c r="P52" s="3"/>
      <c r="Q52" s="3">
        <v>0</v>
      </c>
      <c r="R52" s="3"/>
      <c r="S52" s="17">
        <f t="shared" si="3"/>
        <v>3881482</v>
      </c>
      <c r="T52" s="3"/>
      <c r="U52" s="3">
        <v>560968</v>
      </c>
      <c r="V52" s="3"/>
      <c r="W52" s="3">
        <f>'St of Net Assets'!O52-U52</f>
        <v>0</v>
      </c>
      <c r="Y52" s="32"/>
      <c r="AC52" s="20" t="str">
        <f t="shared" si="0"/>
        <v>Springfield-Clark Co Career Tech Center</v>
      </c>
      <c r="AD52" s="20" t="str">
        <f>GovExp!A52</f>
        <v>Springfield-Clark Co Career Tech Center</v>
      </c>
      <c r="AE52" s="20" t="b">
        <f t="shared" si="1"/>
        <v>1</v>
      </c>
      <c r="AG52" s="3" t="str">
        <f t="shared" si="2"/>
        <v>Clark</v>
      </c>
      <c r="AH52" s="16" t="b">
        <f>C52=GovExp!C52</f>
        <v>1</v>
      </c>
    </row>
    <row r="53" spans="1:34">
      <c r="A53" s="3" t="s">
        <v>226</v>
      </c>
      <c r="C53" s="16" t="s">
        <v>199</v>
      </c>
      <c r="E53" s="16">
        <v>62026</v>
      </c>
      <c r="G53" s="3">
        <v>0</v>
      </c>
      <c r="H53" s="3"/>
      <c r="I53" s="3">
        <v>0</v>
      </c>
      <c r="J53" s="3"/>
      <c r="K53" s="3">
        <v>0</v>
      </c>
      <c r="L53" s="3"/>
      <c r="M53" s="3">
        <v>0</v>
      </c>
      <c r="N53" s="3"/>
      <c r="O53" s="3">
        <v>959118</v>
      </c>
      <c r="P53" s="3"/>
      <c r="Q53" s="3">
        <v>0</v>
      </c>
      <c r="R53" s="3"/>
      <c r="S53" s="17">
        <f t="shared" si="3"/>
        <v>959118</v>
      </c>
      <c r="T53" s="3"/>
      <c r="U53" s="3">
        <v>144559</v>
      </c>
      <c r="V53" s="3"/>
      <c r="W53" s="3">
        <f>'St of Net Assets'!O53-U53</f>
        <v>0</v>
      </c>
      <c r="Y53" s="3"/>
      <c r="AC53" s="20" t="str">
        <f t="shared" si="0"/>
        <v>Stark County Area JVSD</v>
      </c>
      <c r="AD53" s="20" t="str">
        <f>GovExp!A53</f>
        <v>Stark County Area JVSD</v>
      </c>
      <c r="AE53" s="20" t="b">
        <f t="shared" si="1"/>
        <v>1</v>
      </c>
      <c r="AG53" s="3" t="str">
        <f t="shared" si="2"/>
        <v>Stark</v>
      </c>
      <c r="AH53" s="16" t="b">
        <f>C53=GovExp!C53</f>
        <v>1</v>
      </c>
    </row>
    <row r="54" spans="1:34">
      <c r="A54" s="3" t="s">
        <v>290</v>
      </c>
      <c r="C54" s="16" t="s">
        <v>220</v>
      </c>
      <c r="G54" s="3">
        <f>4820000+99650</f>
        <v>4919650</v>
      </c>
      <c r="H54" s="3"/>
      <c r="I54" s="3">
        <v>0</v>
      </c>
      <c r="J54" s="3"/>
      <c r="K54" s="3">
        <v>0</v>
      </c>
      <c r="L54" s="3"/>
      <c r="M54" s="3">
        <v>24568</v>
      </c>
      <c r="N54" s="3"/>
      <c r="O54" s="3">
        <v>647423</v>
      </c>
      <c r="P54" s="3"/>
      <c r="Q54" s="3">
        <v>0</v>
      </c>
      <c r="R54" s="3"/>
      <c r="S54" s="17">
        <f t="shared" si="3"/>
        <v>5591641</v>
      </c>
      <c r="T54" s="3"/>
      <c r="U54" s="3">
        <v>789378</v>
      </c>
      <c r="V54" s="3"/>
      <c r="W54" s="3">
        <f>'St of Net Assets'!O54-U54</f>
        <v>0</v>
      </c>
      <c r="Y54" s="3"/>
      <c r="AC54" s="20" t="str">
        <f t="shared" si="0"/>
        <v>Tolles Career and Technical Center</v>
      </c>
      <c r="AD54" s="20" t="str">
        <f>GovExp!A54</f>
        <v>Tolles Career and Technical Center</v>
      </c>
      <c r="AE54" s="20" t="b">
        <f t="shared" si="1"/>
        <v>1</v>
      </c>
      <c r="AG54" s="3" t="str">
        <f t="shared" si="2"/>
        <v>Madison</v>
      </c>
      <c r="AH54" s="16" t="b">
        <f>C54=GovExp!C54</f>
        <v>1</v>
      </c>
    </row>
    <row r="55" spans="1:34">
      <c r="A55" s="3" t="s">
        <v>312</v>
      </c>
      <c r="C55" s="16" t="s">
        <v>148</v>
      </c>
      <c r="E55" s="16">
        <v>51607</v>
      </c>
      <c r="G55" s="3">
        <v>0</v>
      </c>
      <c r="H55" s="3"/>
      <c r="I55" s="3">
        <v>0</v>
      </c>
      <c r="J55" s="3"/>
      <c r="K55" s="3">
        <v>0</v>
      </c>
      <c r="L55" s="3"/>
      <c r="M55" s="3">
        <v>0</v>
      </c>
      <c r="N55" s="3"/>
      <c r="O55" s="3">
        <v>563424</v>
      </c>
      <c r="P55" s="3"/>
      <c r="Q55" s="3">
        <v>0</v>
      </c>
      <c r="R55" s="3"/>
      <c r="S55" s="17">
        <f t="shared" si="3"/>
        <v>563424</v>
      </c>
      <c r="T55" s="3"/>
      <c r="U55" s="3">
        <v>86262</v>
      </c>
      <c r="V55" s="3"/>
      <c r="W55" s="3">
        <f>'St of Net Assets'!O55-U55</f>
        <v>0</v>
      </c>
      <c r="Y55" s="3"/>
      <c r="AC55" s="20" t="str">
        <f t="shared" si="0"/>
        <v>Tri County Career Center</v>
      </c>
      <c r="AD55" s="20" t="str">
        <f>GovExp!A55</f>
        <v>Tri County Career Center</v>
      </c>
      <c r="AE55" s="20" t="b">
        <f t="shared" si="1"/>
        <v>1</v>
      </c>
      <c r="AG55" s="3" t="str">
        <f t="shared" si="2"/>
        <v>Athens</v>
      </c>
      <c r="AH55" s="16" t="b">
        <f>C55=GovExp!C55</f>
        <v>1</v>
      </c>
    </row>
    <row r="56" spans="1:34">
      <c r="A56" s="3" t="s">
        <v>221</v>
      </c>
      <c r="C56" s="16" t="s">
        <v>222</v>
      </c>
      <c r="E56" s="16">
        <v>65268</v>
      </c>
      <c r="G56" s="3">
        <v>0</v>
      </c>
      <c r="H56" s="3"/>
      <c r="I56" s="3">
        <v>44037</v>
      </c>
      <c r="J56" s="3"/>
      <c r="K56" s="3">
        <v>0</v>
      </c>
      <c r="L56" s="3"/>
      <c r="M56" s="3">
        <v>55961</v>
      </c>
      <c r="N56" s="3"/>
      <c r="O56" s="3">
        <v>299299</v>
      </c>
      <c r="P56" s="3"/>
      <c r="Q56" s="3">
        <v>0</v>
      </c>
      <c r="R56" s="3"/>
      <c r="S56" s="17">
        <f t="shared" si="3"/>
        <v>399297</v>
      </c>
      <c r="T56" s="3"/>
      <c r="U56" s="3">
        <v>100771</v>
      </c>
      <c r="V56" s="3"/>
      <c r="W56" s="3">
        <f>'St of Net Assets'!O56-U56</f>
        <v>0</v>
      </c>
      <c r="Y56" s="3"/>
      <c r="AC56" s="20" t="str">
        <f t="shared" si="0"/>
        <v>Tri-Rivers JVSD</v>
      </c>
      <c r="AD56" s="20" t="str">
        <f>GovExp!A56</f>
        <v>Tri-Rivers JVSD</v>
      </c>
      <c r="AE56" s="20" t="b">
        <f t="shared" si="1"/>
        <v>1</v>
      </c>
      <c r="AG56" s="3" t="str">
        <f t="shared" si="2"/>
        <v>Marion</v>
      </c>
      <c r="AH56" s="16" t="b">
        <f>C56=GovExp!C56</f>
        <v>1</v>
      </c>
    </row>
    <row r="57" spans="1:34">
      <c r="A57" s="3" t="s">
        <v>313</v>
      </c>
      <c r="C57" s="16" t="s">
        <v>201</v>
      </c>
      <c r="E57" s="16">
        <v>51631</v>
      </c>
      <c r="G57" s="3">
        <v>0</v>
      </c>
      <c r="H57" s="3"/>
      <c r="I57" s="3">
        <v>0</v>
      </c>
      <c r="J57" s="3"/>
      <c r="K57" s="3">
        <v>0</v>
      </c>
      <c r="L57" s="3"/>
      <c r="M57" s="3">
        <v>5586000</v>
      </c>
      <c r="N57" s="3"/>
      <c r="O57" s="3">
        <v>1655128</v>
      </c>
      <c r="P57" s="3"/>
      <c r="Q57" s="3">
        <v>0</v>
      </c>
      <c r="R57" s="3"/>
      <c r="S57" s="17">
        <f t="shared" si="3"/>
        <v>7241128</v>
      </c>
      <c r="T57" s="3"/>
      <c r="U57" s="3">
        <v>360201</v>
      </c>
      <c r="V57" s="3"/>
      <c r="W57" s="3">
        <f>'St of Net Assets'!O57-U57</f>
        <v>0</v>
      </c>
      <c r="Y57" s="3"/>
      <c r="AC57" s="20" t="str">
        <f t="shared" si="0"/>
        <v>Trumbull Career &amp; Tech Center</v>
      </c>
      <c r="AD57" s="20" t="str">
        <f>GovExp!A57</f>
        <v>Trumbull Career &amp; Tech Center</v>
      </c>
      <c r="AE57" s="20" t="b">
        <f t="shared" si="1"/>
        <v>1</v>
      </c>
      <c r="AG57" s="3" t="str">
        <f t="shared" si="2"/>
        <v>Trumbull</v>
      </c>
      <c r="AH57" s="16" t="b">
        <f>C57=GovExp!C57</f>
        <v>1</v>
      </c>
    </row>
    <row r="58" spans="1:34">
      <c r="A58" s="3" t="s">
        <v>212</v>
      </c>
      <c r="C58" s="16" t="s">
        <v>157</v>
      </c>
      <c r="E58" s="16">
        <v>62802</v>
      </c>
      <c r="G58" s="3">
        <v>0</v>
      </c>
      <c r="H58" s="3"/>
      <c r="I58" s="3">
        <v>0</v>
      </c>
      <c r="J58" s="3"/>
      <c r="K58" s="3">
        <v>0</v>
      </c>
      <c r="L58" s="3"/>
      <c r="M58" s="3">
        <v>0</v>
      </c>
      <c r="N58" s="3"/>
      <c r="O58" s="3">
        <v>563501</v>
      </c>
      <c r="P58" s="3"/>
      <c r="Q58" s="3">
        <v>0</v>
      </c>
      <c r="R58" s="3"/>
      <c r="S58" s="17">
        <f t="shared" si="3"/>
        <v>563501</v>
      </c>
      <c r="T58" s="3"/>
      <c r="U58" s="3">
        <v>125447</v>
      </c>
      <c r="V58" s="3"/>
      <c r="W58" s="3">
        <f>'St of Net Assets'!O58-U58</f>
        <v>0</v>
      </c>
      <c r="Y58" s="3"/>
      <c r="AC58" s="20" t="str">
        <f t="shared" si="0"/>
        <v>U S Grant JVSD</v>
      </c>
      <c r="AD58" s="20" t="str">
        <f>GovExp!A58</f>
        <v>U S Grant JVSD</v>
      </c>
      <c r="AE58" s="20" t="b">
        <f t="shared" si="1"/>
        <v>1</v>
      </c>
      <c r="AG58" s="3" t="str">
        <f t="shared" si="2"/>
        <v>Clermont</v>
      </c>
      <c r="AH58" s="16" t="b">
        <f>C58=GovExp!C58</f>
        <v>1</v>
      </c>
    </row>
    <row r="59" spans="1:34">
      <c r="A59" s="3" t="s">
        <v>224</v>
      </c>
      <c r="C59" s="16" t="s">
        <v>183</v>
      </c>
      <c r="E59" s="16">
        <v>62125</v>
      </c>
      <c r="G59" s="3">
        <f>6575000+86792</f>
        <v>6661792</v>
      </c>
      <c r="H59" s="3"/>
      <c r="I59" s="3">
        <v>0</v>
      </c>
      <c r="J59" s="3"/>
      <c r="K59" s="3">
        <v>0</v>
      </c>
      <c r="L59" s="3"/>
      <c r="M59" s="3">
        <v>0</v>
      </c>
      <c r="N59" s="3"/>
      <c r="O59" s="3">
        <v>1337786</v>
      </c>
      <c r="P59" s="3"/>
      <c r="Q59" s="3">
        <v>0</v>
      </c>
      <c r="R59" s="3"/>
      <c r="S59" s="17">
        <f t="shared" si="3"/>
        <v>7999578</v>
      </c>
      <c r="T59" s="3"/>
      <c r="U59" s="3">
        <v>848709</v>
      </c>
      <c r="V59" s="3"/>
      <c r="W59" s="3">
        <f>'St of Net Assets'!O59-U59</f>
        <v>0</v>
      </c>
      <c r="Y59" s="3"/>
      <c r="AC59" s="20" t="str">
        <f t="shared" si="0"/>
        <v>Upper Valley JVSD</v>
      </c>
      <c r="AD59" s="20" t="str">
        <f>GovExp!A59</f>
        <v>Upper Valley JVSD</v>
      </c>
      <c r="AE59" s="20" t="b">
        <f t="shared" si="1"/>
        <v>1</v>
      </c>
      <c r="AG59" s="3" t="str">
        <f t="shared" si="2"/>
        <v>Miami</v>
      </c>
      <c r="AH59" s="16" t="b">
        <f>C59=GovExp!C59</f>
        <v>1</v>
      </c>
    </row>
    <row r="60" spans="1:34">
      <c r="A60" s="3" t="s">
        <v>261</v>
      </c>
      <c r="C60" s="16" t="s">
        <v>195</v>
      </c>
      <c r="E60" s="16">
        <v>51458</v>
      </c>
      <c r="G60" s="3">
        <v>5450000</v>
      </c>
      <c r="H60" s="3"/>
      <c r="I60" s="3">
        <v>0</v>
      </c>
      <c r="J60" s="3"/>
      <c r="K60" s="3">
        <v>0</v>
      </c>
      <c r="L60" s="3"/>
      <c r="M60" s="3">
        <v>0</v>
      </c>
      <c r="N60" s="3"/>
      <c r="O60" s="3">
        <v>1011064</v>
      </c>
      <c r="P60" s="3"/>
      <c r="Q60" s="3">
        <v>0</v>
      </c>
      <c r="R60" s="3"/>
      <c r="S60" s="17">
        <f t="shared" si="3"/>
        <v>6461064</v>
      </c>
      <c r="T60" s="3"/>
      <c r="U60" s="3">
        <v>465695</v>
      </c>
      <c r="V60" s="3"/>
      <c r="W60" s="3">
        <f>'St of Net Assets'!O60-U60</f>
        <v>0</v>
      </c>
      <c r="Y60" s="32"/>
      <c r="AC60" s="20" t="str">
        <f t="shared" si="0"/>
        <v>Vanguard-Sentinel Career Center</v>
      </c>
      <c r="AD60" s="20" t="str">
        <f>GovExp!A60</f>
        <v>Vanguard-Sentinel Career Center</v>
      </c>
      <c r="AE60" s="20" t="b">
        <f t="shared" si="1"/>
        <v>1</v>
      </c>
      <c r="AG60" s="3" t="str">
        <f t="shared" si="2"/>
        <v>Sandusky</v>
      </c>
      <c r="AH60" s="16" t="b">
        <f>C60=GovExp!C60</f>
        <v>1</v>
      </c>
    </row>
    <row r="61" spans="1:34">
      <c r="A61" s="3" t="s">
        <v>262</v>
      </c>
      <c r="C61" s="16" t="s">
        <v>204</v>
      </c>
      <c r="E61" s="16">
        <v>51672</v>
      </c>
      <c r="G61" s="3">
        <v>17370000</v>
      </c>
      <c r="H61" s="3"/>
      <c r="I61" s="3">
        <v>0</v>
      </c>
      <c r="J61" s="3"/>
      <c r="K61" s="3">
        <v>0</v>
      </c>
      <c r="L61" s="3"/>
      <c r="M61" s="3">
        <v>87958</v>
      </c>
      <c r="N61" s="3"/>
      <c r="O61" s="3">
        <v>532582</v>
      </c>
      <c r="P61" s="3"/>
      <c r="Q61" s="3">
        <v>0</v>
      </c>
      <c r="R61" s="3"/>
      <c r="S61" s="17">
        <f t="shared" si="3"/>
        <v>17990540</v>
      </c>
      <c r="T61" s="3"/>
      <c r="U61" s="3">
        <v>579399</v>
      </c>
      <c r="V61" s="3"/>
      <c r="W61" s="3">
        <f>'St of Net Assets'!O61-U61</f>
        <v>0</v>
      </c>
      <c r="Y61" s="3"/>
      <c r="AC61" s="20" t="str">
        <f t="shared" si="0"/>
        <v>Vantage Career Center</v>
      </c>
      <c r="AD61" s="20" t="str">
        <f>GovExp!A61</f>
        <v>Vantage Career Center</v>
      </c>
      <c r="AE61" s="20" t="b">
        <f t="shared" si="1"/>
        <v>1</v>
      </c>
      <c r="AG61" s="3" t="str">
        <f t="shared" si="2"/>
        <v>Van Wert</v>
      </c>
      <c r="AH61" s="16" t="b">
        <f>C61=GovExp!C61</f>
        <v>1</v>
      </c>
    </row>
    <row r="62" spans="1:34">
      <c r="A62" s="3" t="s">
        <v>228</v>
      </c>
      <c r="C62" s="16" t="s">
        <v>205</v>
      </c>
      <c r="E62" s="16">
        <v>51474</v>
      </c>
      <c r="G62" s="3">
        <f>620500+48485</f>
        <v>668985</v>
      </c>
      <c r="H62" s="3"/>
      <c r="I62" s="3">
        <v>0</v>
      </c>
      <c r="J62" s="3"/>
      <c r="K62" s="3">
        <v>881000</v>
      </c>
      <c r="L62" s="3"/>
      <c r="M62" s="3">
        <v>110708</v>
      </c>
      <c r="N62" s="3"/>
      <c r="O62" s="3">
        <v>459405</v>
      </c>
      <c r="P62" s="3"/>
      <c r="Q62" s="3">
        <v>0</v>
      </c>
      <c r="R62" s="3"/>
      <c r="S62" s="17">
        <f t="shared" si="3"/>
        <v>2120098</v>
      </c>
      <c r="T62" s="3"/>
      <c r="U62" s="3">
        <v>757440</v>
      </c>
      <c r="V62" s="3"/>
      <c r="W62" s="3">
        <f>'St of Net Assets'!O62-U62</f>
        <v>0</v>
      </c>
      <c r="Y62" s="3"/>
      <c r="AC62" s="20" t="str">
        <f t="shared" si="0"/>
        <v>Warren County JVSD</v>
      </c>
      <c r="AD62" s="20" t="str">
        <f>GovExp!A62</f>
        <v>Warren County JVSD</v>
      </c>
      <c r="AE62" s="20" t="b">
        <f t="shared" si="1"/>
        <v>1</v>
      </c>
      <c r="AG62" s="3" t="str">
        <f t="shared" si="2"/>
        <v>Warren</v>
      </c>
      <c r="AH62" s="16" t="b">
        <f>C62=GovExp!C62</f>
        <v>1</v>
      </c>
    </row>
    <row r="63" spans="1:34">
      <c r="A63" s="3" t="s">
        <v>276</v>
      </c>
      <c r="C63" s="16" t="s">
        <v>206</v>
      </c>
      <c r="E63" s="16">
        <v>51698</v>
      </c>
      <c r="G63" s="3">
        <v>1225000</v>
      </c>
      <c r="H63" s="3"/>
      <c r="I63" s="3">
        <v>0</v>
      </c>
      <c r="J63" s="3"/>
      <c r="K63" s="3">
        <v>290000</v>
      </c>
      <c r="L63" s="3"/>
      <c r="M63" s="3">
        <v>971733</v>
      </c>
      <c r="N63" s="3"/>
      <c r="O63" s="3">
        <v>465525</v>
      </c>
      <c r="P63" s="3"/>
      <c r="Q63" s="3">
        <v>0</v>
      </c>
      <c r="R63" s="3"/>
      <c r="S63" s="17">
        <f t="shared" si="3"/>
        <v>2952258</v>
      </c>
      <c r="T63" s="3"/>
      <c r="U63" s="3">
        <v>111335</v>
      </c>
      <c r="V63" s="3"/>
      <c r="W63" s="3">
        <f>'St of Net Assets'!O63-U63</f>
        <v>0</v>
      </c>
      <c r="Y63" s="3"/>
      <c r="AC63" s="20" t="str">
        <f t="shared" si="0"/>
        <v>Washington County Career Center</v>
      </c>
      <c r="AD63" s="20" t="str">
        <f>GovExp!A63</f>
        <v>Washington County Career Center</v>
      </c>
      <c r="AE63" s="20" t="b">
        <f t="shared" si="1"/>
        <v>1</v>
      </c>
      <c r="AG63" s="3" t="str">
        <f t="shared" si="2"/>
        <v>Washington</v>
      </c>
      <c r="AH63" s="16" t="b">
        <f>C63=GovExp!C63</f>
        <v>1</v>
      </c>
    </row>
    <row r="64" spans="1:34">
      <c r="A64" s="3" t="s">
        <v>263</v>
      </c>
      <c r="C64" s="16" t="s">
        <v>208</v>
      </c>
      <c r="E64" s="16">
        <v>51714</v>
      </c>
      <c r="G64" s="3">
        <v>0</v>
      </c>
      <c r="H64" s="3"/>
      <c r="I64" s="3">
        <v>0</v>
      </c>
      <c r="J64" s="3"/>
      <c r="K64" s="3">
        <v>0</v>
      </c>
      <c r="L64" s="3"/>
      <c r="M64" s="3">
        <v>7355000</v>
      </c>
      <c r="N64" s="3"/>
      <c r="O64" s="3">
        <v>778641</v>
      </c>
      <c r="P64" s="3"/>
      <c r="Q64" s="3">
        <v>0</v>
      </c>
      <c r="R64" s="3"/>
      <c r="S64" s="17">
        <f t="shared" si="3"/>
        <v>8133641</v>
      </c>
      <c r="T64" s="3"/>
      <c r="U64" s="3">
        <v>1003788</v>
      </c>
      <c r="V64" s="3"/>
      <c r="W64" s="3">
        <f>'St of Net Assets'!O64-U64</f>
        <v>0</v>
      </c>
      <c r="Y64" s="32"/>
      <c r="AC64" s="20" t="str">
        <f t="shared" si="0"/>
        <v>Wayne County JVSD</v>
      </c>
      <c r="AD64" s="20" t="str">
        <f>GovExp!A64</f>
        <v>Wayne County JVSD</v>
      </c>
      <c r="AE64" s="20" t="b">
        <f t="shared" si="1"/>
        <v>1</v>
      </c>
      <c r="AG64" s="3" t="str">
        <f t="shared" si="2"/>
        <v>Wayne</v>
      </c>
      <c r="AH64" s="16" t="b">
        <f>C64=GovExp!C64</f>
        <v>1</v>
      </c>
    </row>
    <row r="65" spans="1:35">
      <c r="A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7"/>
      <c r="T65" s="3"/>
      <c r="U65" s="3"/>
      <c r="V65" s="3"/>
      <c r="W65" s="3"/>
      <c r="AC65" s="20"/>
      <c r="AD65" s="20"/>
      <c r="AE65" s="20"/>
      <c r="AG65" s="3"/>
    </row>
    <row r="66" spans="1:35">
      <c r="A66" s="3"/>
      <c r="C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7" t="s">
        <v>266</v>
      </c>
      <c r="V66" s="3"/>
      <c r="W66" s="3"/>
      <c r="AC66" s="20"/>
      <c r="AD66" s="20"/>
      <c r="AE66" s="20"/>
      <c r="AG66" s="3"/>
    </row>
    <row r="67" spans="1:35">
      <c r="A67" s="40" t="s">
        <v>265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AC67" s="20"/>
      <c r="AD67" s="20"/>
      <c r="AE67" s="20"/>
      <c r="AG67" s="3"/>
    </row>
    <row r="68" spans="1:35">
      <c r="A68" s="4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AC68" s="20"/>
      <c r="AD68" s="20"/>
      <c r="AE68" s="20"/>
      <c r="AG68" s="3"/>
    </row>
    <row r="69" spans="1:35" s="68" customFormat="1" hidden="1">
      <c r="A69" s="65" t="s">
        <v>414</v>
      </c>
      <c r="B69" s="65"/>
      <c r="C69" s="65" t="s">
        <v>272</v>
      </c>
      <c r="E69" s="82">
        <v>45849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7">
        <f>SUM(G69:R69)</f>
        <v>0</v>
      </c>
      <c r="T69" s="65"/>
      <c r="U69" s="65"/>
      <c r="V69" s="65"/>
      <c r="W69" s="65">
        <f>'St of Net Assets'!O69-U69</f>
        <v>0</v>
      </c>
      <c r="Y69" s="66" t="s">
        <v>413</v>
      </c>
      <c r="AC69" s="68" t="str">
        <f t="shared" si="0"/>
        <v>Allen County Educ Srv Ctr (CASH)</v>
      </c>
      <c r="AD69" s="68" t="str">
        <f>GovExp!A69</f>
        <v>Allen County Educ Srv Ctr (CASH)</v>
      </c>
      <c r="AE69" s="68" t="b">
        <f t="shared" si="1"/>
        <v>1</v>
      </c>
      <c r="AG69" s="65" t="str">
        <f t="shared" si="2"/>
        <v>Allen</v>
      </c>
      <c r="AH69" s="66" t="b">
        <f>C69=GovExp!C69</f>
        <v>1</v>
      </c>
    </row>
    <row r="70" spans="1:35" s="68" customFormat="1" hidden="1">
      <c r="A70" s="65" t="s">
        <v>415</v>
      </c>
      <c r="B70" s="65"/>
      <c r="C70" s="65" t="s">
        <v>147</v>
      </c>
      <c r="E70" s="82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7">
        <v>0</v>
      </c>
      <c r="T70" s="65"/>
      <c r="U70" s="65"/>
      <c r="V70" s="65"/>
      <c r="W70" s="65">
        <f>'St of Net Assets'!O70-U70</f>
        <v>0</v>
      </c>
      <c r="X70" s="66"/>
      <c r="Y70" s="66" t="s">
        <v>377</v>
      </c>
      <c r="Z70" s="66"/>
      <c r="AA70" s="66"/>
      <c r="AB70" s="66"/>
      <c r="AC70" s="68" t="str">
        <f t="shared" si="0"/>
        <v>Ashtabula County Educ Srv Ctr (CASH)</v>
      </c>
      <c r="AD70" s="68" t="str">
        <f>GovExp!A70</f>
        <v>Ashtabula County Educ Srv Ctr (CASH)</v>
      </c>
      <c r="AE70" s="68" t="b">
        <f t="shared" si="1"/>
        <v>1</v>
      </c>
      <c r="AF70" s="66"/>
      <c r="AG70" s="65" t="str">
        <f t="shared" si="2"/>
        <v>Ashtabula</v>
      </c>
      <c r="AH70" s="66" t="b">
        <f>C70=GovExp!C70</f>
        <v>1</v>
      </c>
      <c r="AI70" s="66"/>
    </row>
    <row r="71" spans="1:35">
      <c r="A71" s="3" t="s">
        <v>151</v>
      </c>
      <c r="C71" s="16" t="s">
        <v>148</v>
      </c>
      <c r="E71" s="16">
        <v>135145</v>
      </c>
      <c r="G71" s="20">
        <v>0</v>
      </c>
      <c r="H71" s="20"/>
      <c r="I71" s="20">
        <v>0</v>
      </c>
      <c r="J71" s="20"/>
      <c r="K71" s="20">
        <v>0</v>
      </c>
      <c r="L71" s="20"/>
      <c r="M71" s="20">
        <v>0</v>
      </c>
      <c r="N71" s="20"/>
      <c r="O71" s="20">
        <v>142813</v>
      </c>
      <c r="P71" s="20"/>
      <c r="Q71" s="20">
        <v>0</v>
      </c>
      <c r="R71" s="20"/>
      <c r="S71" s="21">
        <f>SUM(G71:R71)</f>
        <v>142813</v>
      </c>
      <c r="T71" s="20"/>
      <c r="U71" s="20">
        <v>19475</v>
      </c>
      <c r="V71" s="3"/>
      <c r="W71" s="3">
        <f>'St of Net Assets'!O71-U71</f>
        <v>0</v>
      </c>
      <c r="AC71" s="20" t="str">
        <f t="shared" si="0"/>
        <v>Athens-Meigs Educ Srv Ctr</v>
      </c>
      <c r="AD71" s="20" t="str">
        <f>GovExp!A71</f>
        <v>Athens-Meigs Educ Srv Ctr</v>
      </c>
      <c r="AE71" s="20" t="b">
        <f t="shared" si="1"/>
        <v>1</v>
      </c>
      <c r="AG71" s="3" t="str">
        <f t="shared" si="2"/>
        <v>Athens</v>
      </c>
      <c r="AH71" s="16" t="b">
        <f>C71=GovExp!C71</f>
        <v>1</v>
      </c>
    </row>
    <row r="72" spans="1:35" s="66" customFormat="1" hidden="1">
      <c r="A72" s="65" t="s">
        <v>416</v>
      </c>
      <c r="B72" s="65"/>
      <c r="C72" s="65" t="s">
        <v>273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7">
        <f>SUM(G72:R72)</f>
        <v>0</v>
      </c>
      <c r="T72" s="65"/>
      <c r="U72" s="65"/>
      <c r="V72" s="65"/>
      <c r="W72" s="65">
        <f>'St of Net Assets'!O72-U72</f>
        <v>0</v>
      </c>
      <c r="Y72" s="66" t="s">
        <v>404</v>
      </c>
      <c r="AC72" s="68" t="str">
        <f t="shared" si="0"/>
        <v>Auglaize County Educ Srv Ctr (CASH)</v>
      </c>
      <c r="AD72" s="68" t="str">
        <f>GovExp!A72</f>
        <v>Auglaize County Educ Srv Ctr (CASH)</v>
      </c>
      <c r="AE72" s="68" t="b">
        <f t="shared" si="1"/>
        <v>1</v>
      </c>
      <c r="AG72" s="65" t="str">
        <f t="shared" si="2"/>
        <v>Auglaize</v>
      </c>
      <c r="AH72" s="66" t="b">
        <f>C72=GovExp!C72</f>
        <v>1</v>
      </c>
    </row>
    <row r="73" spans="1:35">
      <c r="A73" s="16" t="s">
        <v>322</v>
      </c>
      <c r="C73" s="16" t="s">
        <v>153</v>
      </c>
      <c r="E73" s="16">
        <v>46029</v>
      </c>
      <c r="G73" s="3">
        <v>0</v>
      </c>
      <c r="H73" s="3"/>
      <c r="I73" s="3">
        <v>0</v>
      </c>
      <c r="J73" s="3"/>
      <c r="K73" s="3">
        <v>0</v>
      </c>
      <c r="L73" s="3"/>
      <c r="M73" s="3">
        <v>0</v>
      </c>
      <c r="N73" s="3"/>
      <c r="O73" s="3">
        <v>207774</v>
      </c>
      <c r="P73" s="3"/>
      <c r="Q73" s="3">
        <v>0</v>
      </c>
      <c r="R73" s="3"/>
      <c r="S73" s="17">
        <f>SUM(G73:R73)</f>
        <v>207774</v>
      </c>
      <c r="T73" s="3"/>
      <c r="U73" s="3">
        <v>36167</v>
      </c>
      <c r="V73" s="3"/>
      <c r="W73" s="3">
        <f>'St of Net Assets'!O73-U73</f>
        <v>0</v>
      </c>
      <c r="Y73" s="3" t="s">
        <v>405</v>
      </c>
      <c r="AC73" s="20" t="str">
        <f t="shared" si="0"/>
        <v>Brown County Educ Srv Ctr</v>
      </c>
      <c r="AD73" s="20" t="str">
        <f>GovExp!A73</f>
        <v>Brown County Educ Srv Ctr</v>
      </c>
      <c r="AE73" s="20" t="b">
        <f t="shared" si="1"/>
        <v>1</v>
      </c>
      <c r="AG73" s="3" t="str">
        <f t="shared" si="2"/>
        <v>Brown</v>
      </c>
      <c r="AH73" s="16" t="b">
        <f>C73=GovExp!C73</f>
        <v>1</v>
      </c>
    </row>
    <row r="74" spans="1:35">
      <c r="A74" s="16" t="s">
        <v>323</v>
      </c>
      <c r="C74" s="16" t="s">
        <v>150</v>
      </c>
      <c r="E74" s="16">
        <v>46086</v>
      </c>
      <c r="G74" s="3">
        <v>0</v>
      </c>
      <c r="H74" s="3"/>
      <c r="I74" s="3">
        <v>0</v>
      </c>
      <c r="J74" s="3"/>
      <c r="K74" s="3">
        <v>0</v>
      </c>
      <c r="L74" s="3"/>
      <c r="M74" s="3">
        <v>2867000</v>
      </c>
      <c r="N74" s="3"/>
      <c r="O74" s="3">
        <v>378531</v>
      </c>
      <c r="P74" s="3"/>
      <c r="Q74" s="3">
        <v>0</v>
      </c>
      <c r="R74" s="3"/>
      <c r="S74" s="17">
        <f t="shared" ref="S74:S130" si="4">SUM(G74:R74)</f>
        <v>3245531</v>
      </c>
      <c r="T74" s="3"/>
      <c r="U74" s="3">
        <v>167696</v>
      </c>
      <c r="V74" s="3"/>
      <c r="W74" s="3">
        <f>'St of Net Assets'!O74-U74</f>
        <v>0</v>
      </c>
      <c r="Y74" s="3"/>
      <c r="AC74" s="20" t="str">
        <f t="shared" si="0"/>
        <v>Butler County Educ Srv Ctr</v>
      </c>
      <c r="AD74" s="20" t="str">
        <f>GovExp!A74</f>
        <v>Butler County Educ Srv Ctr</v>
      </c>
      <c r="AE74" s="20" t="b">
        <f t="shared" si="1"/>
        <v>1</v>
      </c>
      <c r="AG74" s="3" t="str">
        <f t="shared" si="2"/>
        <v>Butler</v>
      </c>
      <c r="AH74" s="16" t="b">
        <f>C74=GovExp!C74</f>
        <v>1</v>
      </c>
    </row>
    <row r="75" spans="1:35">
      <c r="A75" s="16" t="s">
        <v>324</v>
      </c>
      <c r="C75" s="16" t="s">
        <v>155</v>
      </c>
      <c r="E75" s="16">
        <v>46227</v>
      </c>
      <c r="G75" s="3">
        <v>0</v>
      </c>
      <c r="H75" s="3"/>
      <c r="I75" s="3">
        <v>0</v>
      </c>
      <c r="J75" s="3"/>
      <c r="K75" s="3">
        <v>0</v>
      </c>
      <c r="L75" s="3"/>
      <c r="M75" s="3">
        <v>175775</v>
      </c>
      <c r="N75" s="3"/>
      <c r="O75" s="3">
        <v>169076</v>
      </c>
      <c r="P75" s="3"/>
      <c r="Q75" s="3">
        <v>0</v>
      </c>
      <c r="R75" s="3"/>
      <c r="S75" s="17">
        <f t="shared" si="4"/>
        <v>344851</v>
      </c>
      <c r="T75" s="3"/>
      <c r="U75" s="3">
        <v>90030</v>
      </c>
      <c r="V75" s="3"/>
      <c r="W75" s="3">
        <f>'St of Net Assets'!O75-U75</f>
        <v>0</v>
      </c>
      <c r="Y75" s="3"/>
      <c r="AC75" s="20" t="str">
        <f t="shared" si="0"/>
        <v>Clark County Educ Srv Ctr</v>
      </c>
      <c r="AD75" s="20" t="str">
        <f>GovExp!A75</f>
        <v>Clark County Educ Srv Ctr</v>
      </c>
      <c r="AE75" s="20" t="b">
        <f t="shared" si="1"/>
        <v>1</v>
      </c>
      <c r="AG75" s="3" t="str">
        <f t="shared" si="2"/>
        <v>Clark</v>
      </c>
      <c r="AH75" s="16" t="b">
        <f>C75=GovExp!C75</f>
        <v>1</v>
      </c>
    </row>
    <row r="76" spans="1:35">
      <c r="A76" s="3" t="s">
        <v>156</v>
      </c>
      <c r="C76" s="16" t="s">
        <v>157</v>
      </c>
      <c r="E76" s="16">
        <v>46292</v>
      </c>
      <c r="G76" s="3">
        <v>0</v>
      </c>
      <c r="H76" s="3"/>
      <c r="I76" s="3">
        <v>0</v>
      </c>
      <c r="J76" s="3"/>
      <c r="K76" s="3">
        <v>0</v>
      </c>
      <c r="L76" s="3"/>
      <c r="M76" s="3">
        <v>0</v>
      </c>
      <c r="N76" s="3"/>
      <c r="O76" s="3">
        <v>522978</v>
      </c>
      <c r="P76" s="3"/>
      <c r="Q76" s="3">
        <v>0</v>
      </c>
      <c r="R76" s="3"/>
      <c r="S76" s="17">
        <f t="shared" si="4"/>
        <v>522978</v>
      </c>
      <c r="T76" s="3"/>
      <c r="U76" s="3">
        <v>40080</v>
      </c>
      <c r="V76" s="3"/>
      <c r="W76" s="3">
        <f>'St of Net Assets'!O76-U76</f>
        <v>0</v>
      </c>
      <c r="Y76" s="3" t="s">
        <v>425</v>
      </c>
      <c r="AC76" s="20" t="str">
        <f t="shared" si="0"/>
        <v>Clermont County Educ Srv Ctr</v>
      </c>
      <c r="AD76" s="20" t="str">
        <f>GovExp!A76</f>
        <v>Clermont County Educ Srv Ctr</v>
      </c>
      <c r="AE76" s="20" t="b">
        <f t="shared" si="1"/>
        <v>1</v>
      </c>
      <c r="AG76" s="3" t="str">
        <f t="shared" si="2"/>
        <v>Clermont</v>
      </c>
      <c r="AH76" s="16" t="b">
        <f>C76=GovExp!C76</f>
        <v>1</v>
      </c>
    </row>
    <row r="77" spans="1:35" s="66" customFormat="1" hidden="1">
      <c r="A77" s="66" t="s">
        <v>294</v>
      </c>
      <c r="C77" s="66" t="s">
        <v>158</v>
      </c>
      <c r="E77" s="66">
        <v>46375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7">
        <f t="shared" si="4"/>
        <v>0</v>
      </c>
      <c r="T77" s="65"/>
      <c r="U77" s="65"/>
      <c r="V77" s="65"/>
      <c r="W77" s="65">
        <f>'St of Net Assets'!O77-U77</f>
        <v>0</v>
      </c>
      <c r="Y77" s="66" t="s">
        <v>314</v>
      </c>
      <c r="AC77" s="68" t="str">
        <f t="shared" si="0"/>
        <v>Clinton Fayette Highland Educ-now Southern Ohio ESC</v>
      </c>
      <c r="AD77" s="68" t="str">
        <f>GovExp!A77</f>
        <v>Clinton Fayette Highland Educ-now Southern Ohio ESC</v>
      </c>
      <c r="AE77" s="68" t="b">
        <f t="shared" si="1"/>
        <v>1</v>
      </c>
      <c r="AG77" s="65" t="str">
        <f t="shared" si="2"/>
        <v>Clinton</v>
      </c>
      <c r="AH77" s="66" t="b">
        <f>C77=GovExp!C77</f>
        <v>1</v>
      </c>
    </row>
    <row r="78" spans="1:35">
      <c r="A78" s="16" t="s">
        <v>345</v>
      </c>
      <c r="C78" s="16" t="s">
        <v>159</v>
      </c>
      <c r="E78" s="16">
        <v>46417</v>
      </c>
      <c r="G78" s="3">
        <v>0</v>
      </c>
      <c r="H78" s="3"/>
      <c r="I78" s="3">
        <v>401548</v>
      </c>
      <c r="J78" s="3"/>
      <c r="K78" s="3">
        <v>0</v>
      </c>
      <c r="L78" s="3"/>
      <c r="M78" s="3">
        <v>128171</v>
      </c>
      <c r="N78" s="3"/>
      <c r="O78" s="3">
        <v>541832</v>
      </c>
      <c r="P78" s="3"/>
      <c r="Q78" s="3">
        <v>0</v>
      </c>
      <c r="R78" s="3"/>
      <c r="S78" s="17">
        <f t="shared" si="4"/>
        <v>1071551</v>
      </c>
      <c r="T78" s="3"/>
      <c r="U78" s="3">
        <v>198921</v>
      </c>
      <c r="V78" s="3"/>
      <c r="W78" s="3">
        <f>'St of Net Assets'!O78-U78</f>
        <v>0</v>
      </c>
      <c r="Y78" s="3"/>
      <c r="AC78" s="20" t="str">
        <f t="shared" si="0"/>
        <v>Columbiana County Educ Srv Ctr</v>
      </c>
      <c r="AD78" s="20" t="str">
        <f>GovExp!A78</f>
        <v>Columbiana County Educ Srv Ctr</v>
      </c>
      <c r="AE78" s="20" t="b">
        <f t="shared" si="1"/>
        <v>1</v>
      </c>
      <c r="AG78" s="3" t="str">
        <f t="shared" si="2"/>
        <v>Columbiana</v>
      </c>
      <c r="AH78" s="16" t="b">
        <f>C78=GovExp!C78</f>
        <v>1</v>
      </c>
    </row>
    <row r="79" spans="1:35">
      <c r="A79" s="3" t="s">
        <v>347</v>
      </c>
      <c r="C79" s="16" t="s">
        <v>160</v>
      </c>
      <c r="E79" s="16">
        <v>46532</v>
      </c>
      <c r="G79" s="3">
        <v>0</v>
      </c>
      <c r="H79" s="3"/>
      <c r="I79" s="3">
        <v>0</v>
      </c>
      <c r="J79" s="3"/>
      <c r="K79" s="3">
        <v>0</v>
      </c>
      <c r="L79" s="3"/>
      <c r="M79" s="3">
        <v>1736147</v>
      </c>
      <c r="N79" s="3"/>
      <c r="O79" s="3">
        <v>2095694</v>
      </c>
      <c r="P79" s="3"/>
      <c r="Q79" s="3">
        <v>0</v>
      </c>
      <c r="R79" s="3"/>
      <c r="S79" s="17">
        <f t="shared" si="4"/>
        <v>3831841</v>
      </c>
      <c r="T79" s="3"/>
      <c r="U79" s="3">
        <v>1767655</v>
      </c>
      <c r="V79" s="3"/>
      <c r="W79" s="3">
        <f>'St of Net Assets'!O79-U79</f>
        <v>0</v>
      </c>
      <c r="Y79" s="16" t="s">
        <v>315</v>
      </c>
      <c r="AC79" s="20" t="str">
        <f t="shared" ref="AC79:AC130" si="5">A79</f>
        <v>Cuyahoga Educ Srv Ctr-now Educ Srv Ctr of Cuyahoga County</v>
      </c>
      <c r="AD79" s="20" t="str">
        <f>GovExp!A79</f>
        <v>Cuyahoga Educ Srv Ctr-now Educ Srv Ctr of Cuyahoga County</v>
      </c>
      <c r="AE79" s="20" t="b">
        <f t="shared" ref="AE79:AE130" si="6">A79=AD79</f>
        <v>1</v>
      </c>
      <c r="AG79" s="3" t="str">
        <f t="shared" ref="AG79:AG130" si="7">C79</f>
        <v>Cuyahoga</v>
      </c>
      <c r="AH79" s="16" t="b">
        <f>C79=GovExp!C79</f>
        <v>1</v>
      </c>
    </row>
    <row r="80" spans="1:35" s="66" customFormat="1" hidden="1">
      <c r="A80" s="65" t="s">
        <v>376</v>
      </c>
      <c r="C80" s="66" t="s">
        <v>161</v>
      </c>
      <c r="E80" s="66">
        <v>46615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7">
        <f t="shared" si="4"/>
        <v>0</v>
      </c>
      <c r="T80" s="65"/>
      <c r="U80" s="65"/>
      <c r="V80" s="65"/>
      <c r="W80" s="65">
        <f>'St of Net Assets'!O80-U80</f>
        <v>0</v>
      </c>
      <c r="Y80" s="66" t="s">
        <v>377</v>
      </c>
      <c r="AC80" s="68" t="str">
        <f t="shared" si="5"/>
        <v>Darke County Educ Srv Ctr (CASH)</v>
      </c>
      <c r="AD80" s="68" t="str">
        <f>GovExp!A80</f>
        <v>Darke County Educ Srv Ctr (CASH)</v>
      </c>
      <c r="AE80" s="68" t="b">
        <f t="shared" si="6"/>
        <v>1</v>
      </c>
      <c r="AG80" s="65" t="str">
        <f t="shared" si="7"/>
        <v>Darke</v>
      </c>
      <c r="AH80" s="66" t="b">
        <f>C80=GovExp!C80</f>
        <v>1</v>
      </c>
    </row>
    <row r="81" spans="1:34" s="66" customFormat="1" hidden="1">
      <c r="A81" s="65" t="s">
        <v>346</v>
      </c>
      <c r="C81" s="66" t="s">
        <v>162</v>
      </c>
      <c r="E81" s="66">
        <v>46730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7">
        <f t="shared" si="4"/>
        <v>0</v>
      </c>
      <c r="T81" s="65"/>
      <c r="U81" s="65"/>
      <c r="V81" s="65"/>
      <c r="W81" s="65">
        <f>'St of Net Assets'!O81-U81</f>
        <v>0</v>
      </c>
      <c r="Y81" s="66" t="s">
        <v>316</v>
      </c>
      <c r="AC81" s="68" t="str">
        <f t="shared" si="5"/>
        <v>Delaware-Union Educ Srv Ctr - see note to right</v>
      </c>
      <c r="AD81" s="68" t="str">
        <f>GovExp!A81</f>
        <v>Delaware-Union Educ Srv Ctr - see note to right</v>
      </c>
      <c r="AE81" s="68" t="b">
        <f t="shared" si="6"/>
        <v>1</v>
      </c>
      <c r="AG81" s="65" t="str">
        <f t="shared" si="7"/>
        <v>Delaware</v>
      </c>
      <c r="AH81" s="66" t="b">
        <f>C81=GovExp!C81</f>
        <v>1</v>
      </c>
    </row>
    <row r="82" spans="1:34">
      <c r="A82" s="3" t="s">
        <v>344</v>
      </c>
      <c r="C82" s="16" t="s">
        <v>202</v>
      </c>
      <c r="G82" s="3">
        <v>0</v>
      </c>
      <c r="H82" s="3"/>
      <c r="I82" s="3">
        <v>0</v>
      </c>
      <c r="J82" s="3"/>
      <c r="K82" s="3">
        <v>0</v>
      </c>
      <c r="L82" s="3"/>
      <c r="M82" s="3">
        <v>417451</v>
      </c>
      <c r="N82" s="3"/>
      <c r="O82" s="3">
        <v>256646</v>
      </c>
      <c r="P82" s="3"/>
      <c r="Q82" s="3">
        <v>104841</v>
      </c>
      <c r="R82" s="3"/>
      <c r="S82" s="17">
        <f t="shared" si="4"/>
        <v>778938</v>
      </c>
      <c r="T82" s="3"/>
      <c r="U82" s="3">
        <v>148167</v>
      </c>
      <c r="V82" s="3"/>
      <c r="W82" s="3">
        <f>'St of Net Assets'!O82-U82</f>
        <v>0</v>
      </c>
      <c r="Y82" s="16" t="s">
        <v>317</v>
      </c>
      <c r="AC82" s="20" t="str">
        <f t="shared" si="5"/>
        <v>East Central Ohio Educ Srv Ctr</v>
      </c>
      <c r="AD82" s="20" t="str">
        <f>GovExp!A82</f>
        <v>East Central Ohio Educ Srv Ctr</v>
      </c>
      <c r="AE82" s="20" t="b">
        <f t="shared" si="6"/>
        <v>1</v>
      </c>
      <c r="AG82" s="3" t="str">
        <f t="shared" si="7"/>
        <v>Tuscarawas</v>
      </c>
      <c r="AH82" s="16" t="b">
        <f>C82=GovExp!C82</f>
        <v>1</v>
      </c>
    </row>
    <row r="83" spans="1:34">
      <c r="A83" s="3" t="s">
        <v>382</v>
      </c>
      <c r="C83" s="16" t="s">
        <v>165</v>
      </c>
      <c r="E83" s="16">
        <v>46938</v>
      </c>
      <c r="G83" s="3">
        <v>0</v>
      </c>
      <c r="H83" s="3"/>
      <c r="I83" s="3">
        <v>0</v>
      </c>
      <c r="J83" s="3"/>
      <c r="K83" s="3">
        <v>0</v>
      </c>
      <c r="L83" s="3"/>
      <c r="M83" s="3">
        <f>211805+2775000</f>
        <v>2986805</v>
      </c>
      <c r="N83" s="3"/>
      <c r="O83" s="3">
        <v>2100463</v>
      </c>
      <c r="P83" s="3"/>
      <c r="Q83" s="3">
        <v>0</v>
      </c>
      <c r="R83" s="3"/>
      <c r="S83" s="17">
        <f>SUM(G83:R83)</f>
        <v>5087268</v>
      </c>
      <c r="T83" s="3"/>
      <c r="U83" s="3">
        <v>1043714</v>
      </c>
      <c r="V83" s="3"/>
      <c r="W83" s="3">
        <f>'St of Net Assets'!O83-U83</f>
        <v>0</v>
      </c>
      <c r="Y83" s="16" t="s">
        <v>319</v>
      </c>
      <c r="AC83" s="20" t="str">
        <f>A83</f>
        <v>Educational Service Center of Central Ohio</v>
      </c>
      <c r="AD83" s="20" t="str">
        <f>GovExp!A83</f>
        <v>Educational Service Center of Central Ohio</v>
      </c>
      <c r="AE83" s="20" t="b">
        <f>A83=AD83</f>
        <v>1</v>
      </c>
      <c r="AG83" s="3" t="str">
        <f>C83</f>
        <v>Franklin</v>
      </c>
      <c r="AH83" s="16" t="b">
        <f>C83=GovExp!C83</f>
        <v>1</v>
      </c>
    </row>
    <row r="84" spans="1:34" s="66" customFormat="1" hidden="1">
      <c r="A84" s="66" t="s">
        <v>292</v>
      </c>
      <c r="C84" s="66" t="s">
        <v>163</v>
      </c>
      <c r="E84" s="66">
        <v>125690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7">
        <f t="shared" si="4"/>
        <v>0</v>
      </c>
      <c r="T84" s="65"/>
      <c r="U84" s="65"/>
      <c r="V84" s="65"/>
      <c r="W84" s="65">
        <f>'St of Net Assets'!O84-U84</f>
        <v>0</v>
      </c>
      <c r="Y84" s="66" t="s">
        <v>318</v>
      </c>
      <c r="AC84" s="68" t="str">
        <f t="shared" si="5"/>
        <v>Erie-Huron-Ottawa Educ Srv Ctr-now North Point ESC</v>
      </c>
      <c r="AD84" s="68" t="str">
        <f>GovExp!A84</f>
        <v>Erie-Huron-Ottawa Educ Srv Ctr-now North Point ESC</v>
      </c>
      <c r="AE84" s="68" t="b">
        <f t="shared" si="6"/>
        <v>1</v>
      </c>
      <c r="AG84" s="65" t="str">
        <f t="shared" si="7"/>
        <v>Erie</v>
      </c>
      <c r="AH84" s="66" t="b">
        <f>C84=GovExp!C84</f>
        <v>1</v>
      </c>
    </row>
    <row r="85" spans="1:34">
      <c r="A85" s="3" t="s">
        <v>385</v>
      </c>
      <c r="C85" s="16" t="s">
        <v>164</v>
      </c>
      <c r="E85" s="16">
        <v>46839</v>
      </c>
      <c r="G85" s="3">
        <v>0</v>
      </c>
      <c r="H85" s="3"/>
      <c r="I85" s="3">
        <v>0</v>
      </c>
      <c r="J85" s="3"/>
      <c r="K85" s="3">
        <v>0</v>
      </c>
      <c r="L85" s="3"/>
      <c r="M85" s="3">
        <v>17884</v>
      </c>
      <c r="N85" s="3"/>
      <c r="O85" s="3">
        <v>367027</v>
      </c>
      <c r="P85" s="3"/>
      <c r="Q85" s="3">
        <v>0</v>
      </c>
      <c r="R85" s="3"/>
      <c r="S85" s="17">
        <f t="shared" si="4"/>
        <v>384911</v>
      </c>
      <c r="T85" s="3"/>
      <c r="U85" s="3">
        <v>94423</v>
      </c>
      <c r="V85" s="3"/>
      <c r="W85" s="3">
        <f>'St of Net Assets'!O85-U85</f>
        <v>0</v>
      </c>
      <c r="AC85" s="20" t="str">
        <f t="shared" si="5"/>
        <v>Fairfield County Educ Srv Ctr</v>
      </c>
      <c r="AD85" s="20" t="str">
        <f>GovExp!A85</f>
        <v>Fairfield County Educ Srv Ctr</v>
      </c>
      <c r="AE85" s="20" t="b">
        <f t="shared" si="6"/>
        <v>1</v>
      </c>
      <c r="AG85" s="3" t="str">
        <f t="shared" si="7"/>
        <v>Fairfield</v>
      </c>
      <c r="AH85" s="16" t="b">
        <f>C85=GovExp!C85</f>
        <v>1</v>
      </c>
    </row>
    <row r="86" spans="1:34">
      <c r="A86" s="3" t="s">
        <v>167</v>
      </c>
      <c r="C86" s="16" t="s">
        <v>168</v>
      </c>
      <c r="E86" s="16">
        <v>125682</v>
      </c>
      <c r="G86" s="3">
        <v>0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63428</v>
      </c>
      <c r="P86" s="3"/>
      <c r="Q86" s="3">
        <v>0</v>
      </c>
      <c r="R86" s="3"/>
      <c r="S86" s="17">
        <f t="shared" si="4"/>
        <v>63428</v>
      </c>
      <c r="T86" s="3"/>
      <c r="U86" s="3">
        <v>1522</v>
      </c>
      <c r="V86" s="3"/>
      <c r="W86" s="3">
        <f>'St of Net Assets'!O86-U86</f>
        <v>0</v>
      </c>
      <c r="Y86" s="3"/>
      <c r="AC86" s="20" t="str">
        <f t="shared" si="5"/>
        <v>Gallia-Vinton Educ Srv Ctr</v>
      </c>
      <c r="AD86" s="20" t="str">
        <f>GovExp!A86</f>
        <v>Gallia-Vinton Educ Srv Ctr</v>
      </c>
      <c r="AE86" s="20" t="b">
        <f t="shared" si="6"/>
        <v>1</v>
      </c>
      <c r="AG86" s="3" t="str">
        <f t="shared" si="7"/>
        <v>Gallia</v>
      </c>
      <c r="AH86" s="16" t="b">
        <f>C86=GovExp!C86</f>
        <v>1</v>
      </c>
    </row>
    <row r="87" spans="1:34">
      <c r="A87" s="88" t="s">
        <v>384</v>
      </c>
      <c r="C87" s="16" t="s">
        <v>169</v>
      </c>
      <c r="E87" s="16">
        <v>47159</v>
      </c>
      <c r="G87" s="3">
        <v>0</v>
      </c>
      <c r="H87" s="3"/>
      <c r="I87" s="3">
        <v>0</v>
      </c>
      <c r="J87" s="3"/>
      <c r="K87" s="3">
        <v>0</v>
      </c>
      <c r="L87" s="3"/>
      <c r="M87" s="3">
        <v>0</v>
      </c>
      <c r="N87" s="3"/>
      <c r="O87" s="3">
        <v>232204</v>
      </c>
      <c r="P87" s="3"/>
      <c r="Q87" s="3">
        <v>0</v>
      </c>
      <c r="R87" s="3"/>
      <c r="S87" s="17">
        <f t="shared" si="4"/>
        <v>232204</v>
      </c>
      <c r="T87" s="3"/>
      <c r="U87" s="3">
        <v>21532</v>
      </c>
      <c r="V87" s="3"/>
      <c r="W87" s="3">
        <f>'St of Net Assets'!O87-U87</f>
        <v>0</v>
      </c>
      <c r="Y87" s="89"/>
      <c r="AC87" s="20" t="str">
        <f t="shared" si="5"/>
        <v>Geauga County Educ Srv Ctr</v>
      </c>
      <c r="AD87" s="20" t="str">
        <f>GovExp!A87</f>
        <v>Geauga County Educ Srv Ctr</v>
      </c>
      <c r="AE87" s="20" t="b">
        <f t="shared" si="6"/>
        <v>1</v>
      </c>
      <c r="AG87" s="3" t="str">
        <f t="shared" si="7"/>
        <v>Geauga</v>
      </c>
      <c r="AH87" s="16" t="b">
        <f>C87=GovExp!C87</f>
        <v>1</v>
      </c>
    </row>
    <row r="88" spans="1:34">
      <c r="A88" s="16" t="s">
        <v>328</v>
      </c>
      <c r="C88" s="16" t="s">
        <v>170</v>
      </c>
      <c r="E88" s="16">
        <v>47233</v>
      </c>
      <c r="G88" s="3">
        <v>0</v>
      </c>
      <c r="H88" s="3"/>
      <c r="I88" s="3">
        <v>0</v>
      </c>
      <c r="J88" s="3"/>
      <c r="K88" s="3">
        <v>0</v>
      </c>
      <c r="L88" s="3"/>
      <c r="M88" s="3">
        <v>67055</v>
      </c>
      <c r="N88" s="3"/>
      <c r="O88" s="3">
        <v>886094</v>
      </c>
      <c r="P88" s="3"/>
      <c r="Q88" s="3">
        <v>0</v>
      </c>
      <c r="R88" s="3"/>
      <c r="S88" s="17">
        <f t="shared" si="4"/>
        <v>953149</v>
      </c>
      <c r="T88" s="3"/>
      <c r="U88" s="3">
        <v>151224</v>
      </c>
      <c r="V88" s="3"/>
      <c r="W88" s="3">
        <f>'St of Net Assets'!O88-U88</f>
        <v>0</v>
      </c>
      <c r="Y88" s="3"/>
      <c r="AC88" s="20" t="str">
        <f t="shared" si="5"/>
        <v>Greene County Educ Srv Ctr</v>
      </c>
      <c r="AD88" s="20" t="str">
        <f>GovExp!A88</f>
        <v>Greene County Educ Srv Ctr</v>
      </c>
      <c r="AE88" s="20" t="b">
        <f t="shared" si="6"/>
        <v>1</v>
      </c>
      <c r="AG88" s="3" t="str">
        <f t="shared" si="7"/>
        <v>Greene</v>
      </c>
      <c r="AH88" s="16" t="b">
        <f>C88=GovExp!C88</f>
        <v>1</v>
      </c>
    </row>
    <row r="89" spans="1:34">
      <c r="A89" s="16" t="s">
        <v>329</v>
      </c>
      <c r="C89" s="16" t="s">
        <v>171</v>
      </c>
      <c r="E89" s="16">
        <v>47324</v>
      </c>
      <c r="G89" s="3">
        <v>0</v>
      </c>
      <c r="H89" s="3"/>
      <c r="I89" s="3">
        <v>0</v>
      </c>
      <c r="J89" s="3"/>
      <c r="K89" s="3">
        <v>0</v>
      </c>
      <c r="L89" s="3"/>
      <c r="M89" s="3">
        <v>2181000</v>
      </c>
      <c r="N89" s="3"/>
      <c r="O89" s="3">
        <v>4807590</v>
      </c>
      <c r="P89" s="3"/>
      <c r="Q89" s="3">
        <v>0</v>
      </c>
      <c r="R89" s="3"/>
      <c r="S89" s="17">
        <f t="shared" si="4"/>
        <v>6988590</v>
      </c>
      <c r="T89" s="3"/>
      <c r="U89" s="3">
        <v>461258</v>
      </c>
      <c r="V89" s="3"/>
      <c r="W89" s="3">
        <f>'St of Net Assets'!O89-U89</f>
        <v>0</v>
      </c>
      <c r="Y89" s="3"/>
      <c r="AC89" s="20" t="str">
        <f t="shared" si="5"/>
        <v>Hamilton County Educ Srv Ctr</v>
      </c>
      <c r="AD89" s="20" t="str">
        <f>GovExp!A89</f>
        <v>Hamilton County Educ Srv Ctr</v>
      </c>
      <c r="AE89" s="20" t="b">
        <f t="shared" si="6"/>
        <v>1</v>
      </c>
      <c r="AG89" s="3" t="str">
        <f t="shared" si="7"/>
        <v>Hamilton</v>
      </c>
      <c r="AH89" s="16" t="b">
        <f>C89=GovExp!C89</f>
        <v>1</v>
      </c>
    </row>
    <row r="90" spans="1:34">
      <c r="A90" s="16" t="s">
        <v>330</v>
      </c>
      <c r="C90" s="16" t="s">
        <v>172</v>
      </c>
      <c r="E90" s="16">
        <v>47407</v>
      </c>
      <c r="G90" s="3">
        <v>0</v>
      </c>
      <c r="H90" s="3"/>
      <c r="I90" s="3">
        <v>0</v>
      </c>
      <c r="J90" s="3"/>
      <c r="K90" s="3">
        <v>0</v>
      </c>
      <c r="L90" s="3"/>
      <c r="M90" s="3">
        <v>0</v>
      </c>
      <c r="N90" s="3"/>
      <c r="O90" s="3">
        <v>391846</v>
      </c>
      <c r="P90" s="3"/>
      <c r="Q90" s="3">
        <v>0</v>
      </c>
      <c r="R90" s="3"/>
      <c r="S90" s="17">
        <f t="shared" si="4"/>
        <v>391846</v>
      </c>
      <c r="T90" s="3"/>
      <c r="U90" s="3">
        <v>78578</v>
      </c>
      <c r="V90" s="3"/>
      <c r="W90" s="3">
        <f>'St of Net Assets'!O90-U90</f>
        <v>0</v>
      </c>
      <c r="Y90" s="3"/>
      <c r="AC90" s="20" t="str">
        <f t="shared" si="5"/>
        <v>Hancock County Educ Srv Ctr</v>
      </c>
      <c r="AD90" s="20" t="str">
        <f>GovExp!A90</f>
        <v>Hancock County Educ Srv Ctr</v>
      </c>
      <c r="AE90" s="20" t="b">
        <f t="shared" si="6"/>
        <v>1</v>
      </c>
      <c r="AG90" s="3" t="str">
        <f t="shared" si="7"/>
        <v>Hancock</v>
      </c>
      <c r="AH90" s="16" t="b">
        <f>C90=GovExp!C90</f>
        <v>1</v>
      </c>
    </row>
    <row r="91" spans="1:34">
      <c r="A91" s="16" t="s">
        <v>331</v>
      </c>
      <c r="C91" s="16" t="s">
        <v>21</v>
      </c>
      <c r="E91" s="16">
        <v>47480</v>
      </c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27988</v>
      </c>
      <c r="P91" s="3"/>
      <c r="Q91" s="3">
        <v>0</v>
      </c>
      <c r="R91" s="3"/>
      <c r="S91" s="17">
        <f t="shared" si="4"/>
        <v>27988</v>
      </c>
      <c r="T91" s="3"/>
      <c r="U91" s="3">
        <v>0</v>
      </c>
      <c r="V91" s="3"/>
      <c r="W91" s="3">
        <f>'St of Net Assets'!O91-U91</f>
        <v>0</v>
      </c>
      <c r="Y91" s="3"/>
      <c r="AC91" s="20" t="str">
        <f t="shared" si="5"/>
        <v>Hardin County Educ Srv Ctr</v>
      </c>
      <c r="AD91" s="20" t="str">
        <f>GovExp!A91</f>
        <v>Hardin County Educ Srv Ctr</v>
      </c>
      <c r="AE91" s="20" t="b">
        <f t="shared" si="6"/>
        <v>1</v>
      </c>
      <c r="AG91" s="3" t="str">
        <f t="shared" si="7"/>
        <v>Hardin</v>
      </c>
      <c r="AH91" s="16" t="b">
        <f>C91=GovExp!C91</f>
        <v>1</v>
      </c>
    </row>
    <row r="92" spans="1:34">
      <c r="A92" s="16" t="s">
        <v>332</v>
      </c>
      <c r="C92" s="16" t="s">
        <v>173</v>
      </c>
      <c r="E92" s="16">
        <v>47779</v>
      </c>
      <c r="G92" s="3">
        <v>0</v>
      </c>
      <c r="H92" s="3"/>
      <c r="I92" s="3">
        <v>0</v>
      </c>
      <c r="J92" s="3"/>
      <c r="K92" s="3">
        <v>0</v>
      </c>
      <c r="L92" s="3"/>
      <c r="M92" s="3">
        <v>11835</v>
      </c>
      <c r="N92" s="3"/>
      <c r="O92" s="3">
        <v>223835</v>
      </c>
      <c r="P92" s="3"/>
      <c r="Q92" s="3">
        <v>0</v>
      </c>
      <c r="R92" s="3"/>
      <c r="S92" s="17">
        <f t="shared" si="4"/>
        <v>235670</v>
      </c>
      <c r="T92" s="3"/>
      <c r="U92" s="3">
        <v>87720</v>
      </c>
      <c r="V92" s="3"/>
      <c r="W92" s="3">
        <f>'St of Net Assets'!O92-U92</f>
        <v>0</v>
      </c>
      <c r="Y92" s="3"/>
      <c r="AC92" s="20" t="str">
        <f t="shared" si="5"/>
        <v>Jefferson County Educ Srv Ctr</v>
      </c>
      <c r="AD92" s="20" t="str">
        <f>GovExp!A92</f>
        <v>Jefferson County Educ Srv Ctr</v>
      </c>
      <c r="AE92" s="20" t="b">
        <f t="shared" si="6"/>
        <v>1</v>
      </c>
      <c r="AG92" s="3" t="str">
        <f t="shared" si="7"/>
        <v>Jefferson</v>
      </c>
      <c r="AH92" s="16" t="b">
        <f>C92=GovExp!C92</f>
        <v>1</v>
      </c>
    </row>
    <row r="93" spans="1:34">
      <c r="A93" s="16" t="s">
        <v>333</v>
      </c>
      <c r="C93" s="16" t="s">
        <v>174</v>
      </c>
      <c r="E93" s="16">
        <v>47811</v>
      </c>
      <c r="G93" s="3">
        <v>0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97583</v>
      </c>
      <c r="P93" s="3"/>
      <c r="Q93" s="3">
        <v>0</v>
      </c>
      <c r="R93" s="3"/>
      <c r="S93" s="17">
        <f t="shared" si="4"/>
        <v>97583</v>
      </c>
      <c r="T93" s="3"/>
      <c r="U93" s="3">
        <v>19518</v>
      </c>
      <c r="V93" s="3"/>
      <c r="W93" s="3">
        <f>'St of Net Assets'!O93-U93</f>
        <v>0</v>
      </c>
      <c r="Y93" s="3"/>
      <c r="AC93" s="20" t="str">
        <f t="shared" si="5"/>
        <v>Knox County Educ Srv Ctr</v>
      </c>
      <c r="AD93" s="20" t="str">
        <f>GovExp!A93</f>
        <v>Knox County Educ Srv Ctr</v>
      </c>
      <c r="AE93" s="20" t="b">
        <f t="shared" si="6"/>
        <v>1</v>
      </c>
      <c r="AG93" s="3" t="str">
        <f t="shared" si="7"/>
        <v>Knox</v>
      </c>
      <c r="AH93" s="16" t="b">
        <f>C93=GovExp!C93</f>
        <v>1</v>
      </c>
    </row>
    <row r="94" spans="1:34">
      <c r="A94" s="16" t="s">
        <v>334</v>
      </c>
      <c r="C94" s="16" t="s">
        <v>149</v>
      </c>
      <c r="E94" s="16">
        <v>47860</v>
      </c>
      <c r="G94" s="3">
        <v>0</v>
      </c>
      <c r="H94" s="3"/>
      <c r="I94" s="3">
        <v>0</v>
      </c>
      <c r="J94" s="3"/>
      <c r="K94" s="3">
        <v>0</v>
      </c>
      <c r="L94" s="3"/>
      <c r="M94" s="3">
        <v>0</v>
      </c>
      <c r="N94" s="3"/>
      <c r="O94" s="3">
        <v>200903</v>
      </c>
      <c r="P94" s="3"/>
      <c r="Q94" s="3">
        <v>0</v>
      </c>
      <c r="R94" s="3"/>
      <c r="S94" s="17">
        <f t="shared" si="4"/>
        <v>200903</v>
      </c>
      <c r="T94" s="3"/>
      <c r="U94" s="3">
        <v>74504</v>
      </c>
      <c r="V94" s="3"/>
      <c r="W94" s="3">
        <f>'St of Net Assets'!O94-U94</f>
        <v>0</v>
      </c>
      <c r="Y94" s="16" t="s">
        <v>387</v>
      </c>
      <c r="AC94" s="20" t="str">
        <f t="shared" si="5"/>
        <v>Lake County Educ Srv Ctr</v>
      </c>
      <c r="AD94" s="20" t="str">
        <f>GovExp!A94</f>
        <v>Lake County Educ Srv Ctr</v>
      </c>
      <c r="AE94" s="20" t="b">
        <f t="shared" si="6"/>
        <v>1</v>
      </c>
      <c r="AG94" s="3" t="str">
        <f t="shared" si="7"/>
        <v>Lake</v>
      </c>
      <c r="AH94" s="16" t="b">
        <f>C94=GovExp!C94</f>
        <v>1</v>
      </c>
    </row>
    <row r="95" spans="1:34">
      <c r="A95" s="16" t="s">
        <v>335</v>
      </c>
      <c r="C95" s="16" t="s">
        <v>175</v>
      </c>
      <c r="E95" s="16">
        <v>47910</v>
      </c>
      <c r="G95" s="3">
        <v>0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119672</v>
      </c>
      <c r="P95" s="3"/>
      <c r="Q95" s="3">
        <v>0</v>
      </c>
      <c r="R95" s="3"/>
      <c r="S95" s="17">
        <f t="shared" si="4"/>
        <v>119672</v>
      </c>
      <c r="T95" s="3"/>
      <c r="U95" s="3">
        <v>67569</v>
      </c>
      <c r="V95" s="3"/>
      <c r="W95" s="3">
        <f>'St of Net Assets'!O95-U95</f>
        <v>0</v>
      </c>
      <c r="Y95" s="90" t="s">
        <v>320</v>
      </c>
      <c r="AC95" s="20" t="str">
        <f t="shared" si="5"/>
        <v>Lawrence County Educ Srv Ctr</v>
      </c>
      <c r="AD95" s="20" t="str">
        <f>GovExp!A95</f>
        <v>Lawrence County Educ Srv Ctr</v>
      </c>
      <c r="AE95" s="20" t="b">
        <f t="shared" si="6"/>
        <v>1</v>
      </c>
      <c r="AG95" s="3" t="str">
        <f t="shared" si="7"/>
        <v>Lawrence</v>
      </c>
      <c r="AH95" s="16" t="b">
        <f>C95=GovExp!C95</f>
        <v>1</v>
      </c>
    </row>
    <row r="96" spans="1:34">
      <c r="A96" s="3" t="s">
        <v>336</v>
      </c>
      <c r="B96" s="3"/>
      <c r="C96" s="3" t="s">
        <v>176</v>
      </c>
      <c r="G96" s="3">
        <v>0</v>
      </c>
      <c r="H96" s="3"/>
      <c r="I96" s="3">
        <v>0</v>
      </c>
      <c r="J96" s="3"/>
      <c r="K96" s="3">
        <v>0</v>
      </c>
      <c r="L96" s="3"/>
      <c r="M96" s="3">
        <v>59981</v>
      </c>
      <c r="N96" s="3"/>
      <c r="O96" s="3">
        <v>344694</v>
      </c>
      <c r="P96" s="3"/>
      <c r="Q96" s="3">
        <v>0</v>
      </c>
      <c r="R96" s="3"/>
      <c r="S96" s="17">
        <f t="shared" si="4"/>
        <v>404675</v>
      </c>
      <c r="T96" s="3"/>
      <c r="U96" s="3">
        <v>142836</v>
      </c>
      <c r="V96" s="3"/>
      <c r="W96" s="3">
        <f>'St of Net Assets'!O96-U96</f>
        <v>0</v>
      </c>
      <c r="Y96" s="3"/>
      <c r="AC96" s="20" t="str">
        <f t="shared" si="5"/>
        <v>Licking County Educ Srv Ctr</v>
      </c>
      <c r="AD96" s="20" t="str">
        <f>GovExp!A96</f>
        <v>Licking County Educ Srv Ctr</v>
      </c>
      <c r="AE96" s="20" t="b">
        <f t="shared" si="6"/>
        <v>1</v>
      </c>
      <c r="AG96" s="3" t="str">
        <f t="shared" si="7"/>
        <v>Licking</v>
      </c>
      <c r="AH96" s="16" t="b">
        <f>C96=GovExp!C96</f>
        <v>1</v>
      </c>
    </row>
    <row r="97" spans="1:34">
      <c r="A97" s="16" t="s">
        <v>337</v>
      </c>
      <c r="C97" s="16" t="s">
        <v>177</v>
      </c>
      <c r="E97" s="16">
        <v>48058</v>
      </c>
      <c r="G97" s="3">
        <v>0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86964</v>
      </c>
      <c r="P97" s="3"/>
      <c r="Q97" s="3">
        <v>0</v>
      </c>
      <c r="R97" s="3"/>
      <c r="S97" s="17">
        <f t="shared" si="4"/>
        <v>86964</v>
      </c>
      <c r="T97" s="3"/>
      <c r="U97" s="3">
        <v>35527</v>
      </c>
      <c r="V97" s="3"/>
      <c r="W97" s="3">
        <f>'St of Net Assets'!O97-U97</f>
        <v>0</v>
      </c>
      <c r="Y97" s="90" t="s">
        <v>320</v>
      </c>
      <c r="AC97" s="20" t="str">
        <f t="shared" si="5"/>
        <v>Logan County Educ Srv Ctr</v>
      </c>
      <c r="AD97" s="20" t="str">
        <f>GovExp!A97</f>
        <v>Logan County Educ Srv Ctr</v>
      </c>
      <c r="AE97" s="20" t="b">
        <f t="shared" si="6"/>
        <v>1</v>
      </c>
      <c r="AG97" s="3" t="str">
        <f t="shared" si="7"/>
        <v>Logan</v>
      </c>
      <c r="AH97" s="16" t="b">
        <f>C97=GovExp!C97</f>
        <v>1</v>
      </c>
    </row>
    <row r="98" spans="1:34">
      <c r="A98" s="16" t="s">
        <v>338</v>
      </c>
      <c r="C98" s="16" t="s">
        <v>145</v>
      </c>
      <c r="E98" s="16">
        <v>48108</v>
      </c>
      <c r="G98" s="3">
        <v>0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589496</v>
      </c>
      <c r="P98" s="3"/>
      <c r="Q98" s="3">
        <v>0</v>
      </c>
      <c r="R98" s="3"/>
      <c r="S98" s="17">
        <f t="shared" si="4"/>
        <v>589496</v>
      </c>
      <c r="T98" s="3"/>
      <c r="U98" s="3">
        <v>164116</v>
      </c>
      <c r="V98" s="3"/>
      <c r="W98" s="3">
        <f>'St of Net Assets'!O98-U98</f>
        <v>0</v>
      </c>
      <c r="Y98" s="16" t="s">
        <v>388</v>
      </c>
      <c r="AC98" s="20" t="str">
        <f t="shared" si="5"/>
        <v>Lorain County Educ Srv Ctr</v>
      </c>
      <c r="AD98" s="20" t="str">
        <f>GovExp!A98</f>
        <v>Lorain County Educ Srv Ctr</v>
      </c>
      <c r="AE98" s="20" t="b">
        <f t="shared" si="6"/>
        <v>1</v>
      </c>
      <c r="AG98" s="3" t="str">
        <f t="shared" si="7"/>
        <v>Lorain</v>
      </c>
      <c r="AH98" s="16" t="b">
        <f>C98=GovExp!C98</f>
        <v>1</v>
      </c>
    </row>
    <row r="99" spans="1:34">
      <c r="A99" s="16" t="s">
        <v>339</v>
      </c>
      <c r="C99" s="16" t="s">
        <v>178</v>
      </c>
      <c r="E99" s="16">
        <v>48199</v>
      </c>
      <c r="G99" s="3">
        <v>0</v>
      </c>
      <c r="H99" s="3"/>
      <c r="I99" s="3">
        <v>0</v>
      </c>
      <c r="J99" s="3"/>
      <c r="K99" s="3">
        <v>0</v>
      </c>
      <c r="L99" s="3"/>
      <c r="M99" s="3">
        <v>7890</v>
      </c>
      <c r="N99" s="3"/>
      <c r="O99" s="3">
        <v>1734378</v>
      </c>
      <c r="P99" s="3"/>
      <c r="Q99" s="3">
        <v>0</v>
      </c>
      <c r="R99" s="3"/>
      <c r="S99" s="17">
        <f t="shared" si="4"/>
        <v>1742268</v>
      </c>
      <c r="T99" s="3"/>
      <c r="U99" s="3">
        <v>506243</v>
      </c>
      <c r="V99" s="3"/>
      <c r="W99" s="3">
        <f>'St of Net Assets'!O99-U99</f>
        <v>0</v>
      </c>
      <c r="Y99" s="3"/>
      <c r="AC99" s="20" t="str">
        <f t="shared" si="5"/>
        <v>Lucas County Educ Srv Ctr</v>
      </c>
      <c r="AD99" s="20" t="str">
        <f>GovExp!A99</f>
        <v>Lucas County Educ Srv Ctr</v>
      </c>
      <c r="AE99" s="20" t="b">
        <f t="shared" si="6"/>
        <v>1</v>
      </c>
      <c r="AG99" s="3" t="str">
        <f t="shared" si="7"/>
        <v>Lucas</v>
      </c>
      <c r="AH99" s="16" t="b">
        <f>C99=GovExp!C99</f>
        <v>1</v>
      </c>
    </row>
    <row r="100" spans="1:34" s="66" customFormat="1" hidden="1">
      <c r="A100" s="65" t="s">
        <v>391</v>
      </c>
      <c r="C100" s="66" t="s">
        <v>154</v>
      </c>
      <c r="E100" s="66">
        <v>137364</v>
      </c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>
        <v>0</v>
      </c>
      <c r="R100" s="65"/>
      <c r="S100" s="67">
        <f t="shared" si="4"/>
        <v>0</v>
      </c>
      <c r="T100" s="65"/>
      <c r="U100" s="65"/>
      <c r="V100" s="65"/>
      <c r="W100" s="65">
        <f>'St of Net Assets'!O100-U100</f>
        <v>0</v>
      </c>
      <c r="Y100" s="65" t="s">
        <v>390</v>
      </c>
      <c r="AC100" s="68" t="str">
        <f t="shared" si="5"/>
        <v>Madison-Champaign Educ Srv Ctr (CASH)</v>
      </c>
      <c r="AD100" s="68" t="str">
        <f>GovExp!A100</f>
        <v>Madison-Champaign Educ Srv Ctr (CASH)</v>
      </c>
      <c r="AE100" s="68" t="b">
        <f t="shared" si="6"/>
        <v>1</v>
      </c>
      <c r="AG100" s="65" t="str">
        <f t="shared" si="7"/>
        <v>Champaign</v>
      </c>
      <c r="AH100" s="66" t="b">
        <f>C100=GovExp!C100</f>
        <v>1</v>
      </c>
    </row>
    <row r="101" spans="1:34" ht="12" customHeight="1">
      <c r="A101" s="3" t="s">
        <v>392</v>
      </c>
      <c r="C101" s="16" t="s">
        <v>179</v>
      </c>
      <c r="E101" s="16">
        <v>48280</v>
      </c>
      <c r="G101" s="3">
        <v>0</v>
      </c>
      <c r="H101" s="3"/>
      <c r="I101" s="3">
        <v>0</v>
      </c>
      <c r="J101" s="3"/>
      <c r="K101" s="3">
        <v>0</v>
      </c>
      <c r="L101" s="3"/>
      <c r="M101" s="3">
        <v>0</v>
      </c>
      <c r="N101" s="3"/>
      <c r="O101" s="3">
        <v>734734</v>
      </c>
      <c r="P101" s="3"/>
      <c r="Q101" s="3">
        <v>0</v>
      </c>
      <c r="R101" s="3"/>
      <c r="S101" s="17">
        <f t="shared" si="4"/>
        <v>734734</v>
      </c>
      <c r="T101" s="3"/>
      <c r="U101" s="3">
        <v>250504</v>
      </c>
      <c r="V101" s="3"/>
      <c r="W101" s="3">
        <f>'St of Net Assets'!O101-U101</f>
        <v>0</v>
      </c>
      <c r="Y101" s="3"/>
      <c r="AC101" s="20" t="str">
        <f t="shared" si="5"/>
        <v>Mahoning County Educ Srv Ctr</v>
      </c>
      <c r="AD101" s="20" t="str">
        <f>GovExp!A101</f>
        <v>Mahoning County Educ Srv Ctr</v>
      </c>
      <c r="AE101" s="20" t="b">
        <f t="shared" si="6"/>
        <v>1</v>
      </c>
      <c r="AG101" s="3" t="str">
        <f t="shared" si="7"/>
        <v>Mahoning</v>
      </c>
      <c r="AH101" s="16" t="b">
        <f>C101=GovExp!C101</f>
        <v>1</v>
      </c>
    </row>
    <row r="102" spans="1:34">
      <c r="A102" s="3" t="s">
        <v>180</v>
      </c>
      <c r="C102" s="16" t="s">
        <v>181</v>
      </c>
      <c r="E102" s="16">
        <v>48454</v>
      </c>
      <c r="G102" s="3">
        <v>0</v>
      </c>
      <c r="H102" s="3"/>
      <c r="I102" s="3">
        <v>0</v>
      </c>
      <c r="J102" s="3"/>
      <c r="K102" s="3">
        <v>0</v>
      </c>
      <c r="L102" s="3"/>
      <c r="M102" s="3">
        <v>0</v>
      </c>
      <c r="N102" s="3"/>
      <c r="O102" s="3">
        <v>166169</v>
      </c>
      <c r="P102" s="3"/>
      <c r="Q102" s="3">
        <v>0</v>
      </c>
      <c r="R102" s="3"/>
      <c r="S102" s="17">
        <f t="shared" si="4"/>
        <v>166169</v>
      </c>
      <c r="T102" s="3"/>
      <c r="U102" s="3">
        <v>69439</v>
      </c>
      <c r="V102" s="3"/>
      <c r="W102" s="3">
        <f>'St of Net Assets'!O102-U102</f>
        <v>0</v>
      </c>
      <c r="Y102" s="3"/>
      <c r="AC102" s="20" t="str">
        <f t="shared" si="5"/>
        <v>Medina County Educ Srv Ctr</v>
      </c>
      <c r="AD102" s="20" t="str">
        <f>GovExp!A102</f>
        <v>Medina County Educ Srv Ctr</v>
      </c>
      <c r="AE102" s="20" t="b">
        <f t="shared" si="6"/>
        <v>1</v>
      </c>
      <c r="AG102" s="3" t="str">
        <f t="shared" si="7"/>
        <v>Medina</v>
      </c>
      <c r="AH102" s="16" t="b">
        <f>C102=GovExp!C102</f>
        <v>1</v>
      </c>
    </row>
    <row r="103" spans="1:34" s="66" customFormat="1" hidden="1">
      <c r="A103" s="65" t="s">
        <v>394</v>
      </c>
      <c r="C103" s="66" t="s">
        <v>182</v>
      </c>
      <c r="E103" s="66">
        <v>48546</v>
      </c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>
        <v>0</v>
      </c>
      <c r="R103" s="65"/>
      <c r="S103" s="67">
        <f t="shared" si="4"/>
        <v>0</v>
      </c>
      <c r="T103" s="65"/>
      <c r="U103" s="65"/>
      <c r="V103" s="65"/>
      <c r="W103" s="65">
        <f>'St of Net Assets'!O103-U103</f>
        <v>0</v>
      </c>
      <c r="Y103" s="80" t="s">
        <v>393</v>
      </c>
      <c r="AC103" s="68" t="str">
        <f t="shared" si="5"/>
        <v>Mercer County Educ Srv Ctr (CASH)</v>
      </c>
      <c r="AD103" s="68" t="str">
        <f>GovExp!A103</f>
        <v>Mercer County Educ Srv Ctr (CASH)</v>
      </c>
      <c r="AE103" s="68" t="b">
        <f t="shared" si="6"/>
        <v>1</v>
      </c>
      <c r="AG103" s="65" t="str">
        <f t="shared" si="7"/>
        <v>Mercer</v>
      </c>
      <c r="AH103" s="66" t="b">
        <f>C103=GovExp!C103</f>
        <v>1</v>
      </c>
    </row>
    <row r="104" spans="1:34">
      <c r="A104" s="3" t="s">
        <v>395</v>
      </c>
      <c r="C104" s="16" t="s">
        <v>183</v>
      </c>
      <c r="E104" s="16">
        <v>48603</v>
      </c>
      <c r="G104" s="3">
        <v>0</v>
      </c>
      <c r="H104" s="3"/>
      <c r="I104" s="3">
        <v>0</v>
      </c>
      <c r="J104" s="3"/>
      <c r="K104" s="3">
        <v>0</v>
      </c>
      <c r="L104" s="3"/>
      <c r="M104" s="3">
        <v>33940</v>
      </c>
      <c r="N104" s="3"/>
      <c r="O104" s="3">
        <v>305703</v>
      </c>
      <c r="P104" s="3"/>
      <c r="Q104" s="3">
        <v>0</v>
      </c>
      <c r="R104" s="3"/>
      <c r="S104" s="17">
        <f t="shared" si="4"/>
        <v>339643</v>
      </c>
      <c r="T104" s="3"/>
      <c r="U104" s="3">
        <v>65779</v>
      </c>
      <c r="V104" s="3"/>
      <c r="W104" s="3">
        <f>'St of Net Assets'!O104-U104</f>
        <v>0</v>
      </c>
      <c r="Y104" s="3"/>
      <c r="AC104" s="20" t="str">
        <f t="shared" si="5"/>
        <v>Miami County Educ Srv Ctr</v>
      </c>
      <c r="AD104" s="20" t="str">
        <f>GovExp!A104</f>
        <v>Miami County Educ Srv Ctr</v>
      </c>
      <c r="AE104" s="20" t="b">
        <f t="shared" si="6"/>
        <v>1</v>
      </c>
      <c r="AG104" s="3" t="str">
        <f t="shared" si="7"/>
        <v>Miami</v>
      </c>
      <c r="AH104" s="16" t="b">
        <f>C104=GovExp!C104</f>
        <v>1</v>
      </c>
    </row>
    <row r="105" spans="1:34" s="66" customFormat="1" hidden="1">
      <c r="A105" s="65" t="s">
        <v>293</v>
      </c>
      <c r="B105" s="65"/>
      <c r="C105" s="65" t="s">
        <v>193</v>
      </c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>
        <v>0</v>
      </c>
      <c r="R105" s="65"/>
      <c r="S105" s="67">
        <f t="shared" si="4"/>
        <v>0</v>
      </c>
      <c r="T105" s="65"/>
      <c r="U105" s="65"/>
      <c r="V105" s="65"/>
      <c r="W105" s="65">
        <f>'St of Net Assets'!O105-U105</f>
        <v>0</v>
      </c>
      <c r="Y105" s="80" t="s">
        <v>393</v>
      </c>
      <c r="AC105" s="68" t="str">
        <f t="shared" si="5"/>
        <v>Mid-Ohio Educ Srv Ctr  (CASH)</v>
      </c>
      <c r="AD105" s="68" t="str">
        <f>GovExp!A105</f>
        <v>Mid-Ohio Educ Srv Ctr  (CASH)</v>
      </c>
      <c r="AE105" s="68" t="b">
        <f t="shared" si="6"/>
        <v>1</v>
      </c>
      <c r="AG105" s="65" t="str">
        <f t="shared" si="7"/>
        <v>Richland</v>
      </c>
      <c r="AH105" s="66" t="b">
        <f>C105=GovExp!C105</f>
        <v>1</v>
      </c>
    </row>
    <row r="106" spans="1:34">
      <c r="A106" s="3" t="s">
        <v>398</v>
      </c>
      <c r="C106" s="16" t="s">
        <v>184</v>
      </c>
      <c r="E106" s="16">
        <v>48660</v>
      </c>
      <c r="G106" s="3">
        <v>0</v>
      </c>
      <c r="H106" s="3"/>
      <c r="I106" s="3">
        <v>30860</v>
      </c>
      <c r="J106" s="3"/>
      <c r="K106" s="3">
        <v>0</v>
      </c>
      <c r="L106" s="3"/>
      <c r="M106" s="3">
        <v>217903</v>
      </c>
      <c r="N106" s="3"/>
      <c r="O106" s="3">
        <v>677938</v>
      </c>
      <c r="P106" s="3"/>
      <c r="Q106" s="3">
        <v>0</v>
      </c>
      <c r="R106" s="3"/>
      <c r="S106" s="17">
        <f t="shared" si="4"/>
        <v>926701</v>
      </c>
      <c r="T106" s="3"/>
      <c r="U106" s="3">
        <v>394957</v>
      </c>
      <c r="V106" s="3"/>
      <c r="W106" s="3">
        <f>'St of Net Assets'!O106-U106</f>
        <v>0</v>
      </c>
      <c r="Y106" s="3"/>
      <c r="AC106" s="20" t="str">
        <f t="shared" si="5"/>
        <v>Montgomery County Educ Srv Ctr</v>
      </c>
      <c r="AD106" s="20" t="str">
        <f>GovExp!A106</f>
        <v>Montgomery County Educ Srv Ctr</v>
      </c>
      <c r="AE106" s="20" t="b">
        <f t="shared" si="6"/>
        <v>1</v>
      </c>
      <c r="AG106" s="3" t="str">
        <f t="shared" si="7"/>
        <v>Montgomery</v>
      </c>
      <c r="AH106" s="16" t="b">
        <f>C106=GovExp!C106</f>
        <v>1</v>
      </c>
    </row>
    <row r="107" spans="1:34">
      <c r="A107" s="3" t="s">
        <v>185</v>
      </c>
      <c r="C107" s="16" t="s">
        <v>186</v>
      </c>
      <c r="E107" s="16">
        <v>125252</v>
      </c>
      <c r="G107" s="3">
        <v>0</v>
      </c>
      <c r="H107" s="3"/>
      <c r="I107" s="3">
        <v>0</v>
      </c>
      <c r="J107" s="3"/>
      <c r="K107" s="3">
        <v>0</v>
      </c>
      <c r="L107" s="3"/>
      <c r="M107" s="3">
        <v>0</v>
      </c>
      <c r="N107" s="3"/>
      <c r="O107" s="3">
        <v>721635</v>
      </c>
      <c r="P107" s="3"/>
      <c r="Q107" s="3">
        <v>0</v>
      </c>
      <c r="R107" s="3"/>
      <c r="S107" s="17">
        <f t="shared" si="4"/>
        <v>721635</v>
      </c>
      <c r="T107" s="3"/>
      <c r="U107" s="3">
        <v>74617</v>
      </c>
      <c r="V107" s="3"/>
      <c r="W107" s="3">
        <f>'St of Net Assets'!O107-U107</f>
        <v>0</v>
      </c>
      <c r="Y107" s="3"/>
      <c r="AC107" s="20" t="str">
        <f t="shared" si="5"/>
        <v>Muskingum Valley Educ Srv Ctr</v>
      </c>
      <c r="AD107" s="20" t="str">
        <f>GovExp!A107</f>
        <v>Muskingum Valley Educ Srv Ctr</v>
      </c>
      <c r="AE107" s="20" t="b">
        <f t="shared" si="6"/>
        <v>1</v>
      </c>
      <c r="AG107" s="3" t="str">
        <f t="shared" si="7"/>
        <v>Muskingum</v>
      </c>
      <c r="AH107" s="16" t="b">
        <f>C107=GovExp!C107</f>
        <v>1</v>
      </c>
    </row>
    <row r="108" spans="1:34">
      <c r="A108" s="3" t="s">
        <v>277</v>
      </c>
      <c r="C108" s="16" t="s">
        <v>197</v>
      </c>
      <c r="E108" s="16">
        <v>123257</v>
      </c>
      <c r="G108" s="3">
        <v>0</v>
      </c>
      <c r="H108" s="3"/>
      <c r="I108" s="3">
        <v>0</v>
      </c>
      <c r="J108" s="3"/>
      <c r="K108" s="3">
        <v>3530000</v>
      </c>
      <c r="L108" s="3"/>
      <c r="M108" s="3">
        <v>0</v>
      </c>
      <c r="N108" s="3"/>
      <c r="O108" s="3">
        <v>808067</v>
      </c>
      <c r="P108" s="3"/>
      <c r="Q108" s="3">
        <v>0</v>
      </c>
      <c r="R108" s="3"/>
      <c r="S108" s="17">
        <f t="shared" ref="S108" si="8">SUM(G108:R108)</f>
        <v>4338067</v>
      </c>
      <c r="T108" s="3"/>
      <c r="U108" s="3">
        <v>129572</v>
      </c>
      <c r="V108" s="3"/>
      <c r="W108" s="3">
        <f>'St of Net Assets'!O108-U108</f>
        <v>0</v>
      </c>
      <c r="Y108" s="3"/>
      <c r="AC108" s="20" t="str">
        <f t="shared" si="5"/>
        <v>North Central Ohio Educ Srv Ctr</v>
      </c>
      <c r="AD108" s="20" t="str">
        <f>GovExp!A108</f>
        <v>North Central Ohio Educ Srv Ctr</v>
      </c>
      <c r="AE108" s="20" t="b">
        <f t="shared" si="6"/>
        <v>1</v>
      </c>
      <c r="AG108" s="3" t="str">
        <f t="shared" si="7"/>
        <v>Seneca</v>
      </c>
      <c r="AH108" s="16" t="b">
        <f>C108=GovExp!C108</f>
        <v>1</v>
      </c>
    </row>
    <row r="109" spans="1:34">
      <c r="A109" s="16" t="s">
        <v>340</v>
      </c>
      <c r="C109" s="16" t="s">
        <v>163</v>
      </c>
      <c r="G109" s="3">
        <v>0</v>
      </c>
      <c r="H109" s="3"/>
      <c r="I109" s="3">
        <v>0</v>
      </c>
      <c r="J109" s="3"/>
      <c r="K109" s="3">
        <v>0</v>
      </c>
      <c r="L109" s="3"/>
      <c r="M109" s="3">
        <v>0</v>
      </c>
      <c r="N109" s="3"/>
      <c r="O109" s="3">
        <v>1587581</v>
      </c>
      <c r="P109" s="3"/>
      <c r="Q109" s="3">
        <v>0</v>
      </c>
      <c r="R109" s="3"/>
      <c r="S109" s="17">
        <f t="shared" ref="S109" si="9">SUM(G109:R109)</f>
        <v>1587581</v>
      </c>
      <c r="T109" s="3"/>
      <c r="U109" s="3">
        <v>282442</v>
      </c>
      <c r="V109" s="3"/>
      <c r="W109" s="3">
        <f>'St of Net Assets'!O109-U109</f>
        <v>0</v>
      </c>
      <c r="Y109" s="3"/>
      <c r="AC109" s="20" t="str">
        <f t="shared" si="5"/>
        <v>North Point Educ Srv Ctr</v>
      </c>
      <c r="AD109" s="20" t="str">
        <f>GovExp!A109</f>
        <v>North Point Educ Srv Ctr</v>
      </c>
      <c r="AE109" s="20" t="b">
        <f t="shared" si="6"/>
        <v>1</v>
      </c>
      <c r="AG109" s="3" t="str">
        <f t="shared" si="7"/>
        <v>Erie</v>
      </c>
      <c r="AH109" s="16" t="b">
        <f>C109=GovExp!C109</f>
        <v>1</v>
      </c>
    </row>
    <row r="110" spans="1:34">
      <c r="A110" s="3" t="s">
        <v>166</v>
      </c>
      <c r="C110" s="3" t="s">
        <v>399</v>
      </c>
      <c r="E110" s="16">
        <v>124297</v>
      </c>
      <c r="G110" s="3">
        <v>0</v>
      </c>
      <c r="H110" s="3"/>
      <c r="I110" s="3">
        <v>1140062</v>
      </c>
      <c r="J110" s="3"/>
      <c r="K110" s="3">
        <v>0</v>
      </c>
      <c r="L110" s="3"/>
      <c r="M110" s="3">
        <v>0</v>
      </c>
      <c r="N110" s="3"/>
      <c r="O110" s="3">
        <v>1149616</v>
      </c>
      <c r="P110" s="3"/>
      <c r="Q110" s="3">
        <v>0</v>
      </c>
      <c r="R110" s="3"/>
      <c r="S110" s="17">
        <f t="shared" si="4"/>
        <v>2289678</v>
      </c>
      <c r="T110" s="3"/>
      <c r="U110" s="3">
        <v>219843</v>
      </c>
      <c r="V110" s="3"/>
      <c r="W110" s="3">
        <f>'St of Net Assets'!O110-U110</f>
        <v>0</v>
      </c>
      <c r="Y110" s="3" t="s">
        <v>400</v>
      </c>
      <c r="AC110" s="20" t="str">
        <f t="shared" si="5"/>
        <v>Northwest Ohio Educ Srv Ctr</v>
      </c>
      <c r="AD110" s="20" t="str">
        <f>GovExp!A110</f>
        <v>Northwest Ohio Educ Srv Ctr</v>
      </c>
      <c r="AE110" s="20" t="b">
        <f t="shared" si="6"/>
        <v>1</v>
      </c>
      <c r="AG110" s="3" t="str">
        <f t="shared" si="7"/>
        <v>Fulton</v>
      </c>
      <c r="AH110" s="16" t="b">
        <f>C110=GovExp!C110</f>
        <v>1</v>
      </c>
    </row>
    <row r="111" spans="1:34">
      <c r="A111" s="3" t="s">
        <v>364</v>
      </c>
      <c r="C111" s="3" t="s">
        <v>271</v>
      </c>
      <c r="E111" s="16">
        <v>123521</v>
      </c>
      <c r="G111" s="3">
        <v>0</v>
      </c>
      <c r="H111" s="3"/>
      <c r="I111" s="3">
        <v>0</v>
      </c>
      <c r="J111" s="3"/>
      <c r="K111" s="3">
        <v>0</v>
      </c>
      <c r="L111" s="3"/>
      <c r="M111" s="3">
        <v>16056</v>
      </c>
      <c r="N111" s="3"/>
      <c r="O111" s="3">
        <v>415062</v>
      </c>
      <c r="P111" s="3"/>
      <c r="Q111" s="3">
        <v>0</v>
      </c>
      <c r="R111" s="3"/>
      <c r="S111" s="17">
        <f t="shared" si="4"/>
        <v>431118</v>
      </c>
      <c r="T111" s="3"/>
      <c r="U111" s="3">
        <v>115206</v>
      </c>
      <c r="V111" s="3"/>
      <c r="W111" s="3">
        <f>'St of Net Assets'!O111-U111</f>
        <v>0</v>
      </c>
      <c r="Y111" s="3"/>
      <c r="AC111" s="20" t="str">
        <f t="shared" si="5"/>
        <v>Ohio Valley Educ Srv Ctr</v>
      </c>
      <c r="AD111" s="20" t="str">
        <f>GovExp!A111</f>
        <v>Ohio Valley Educ Srv Ctr</v>
      </c>
      <c r="AE111" s="20" t="b">
        <f t="shared" si="6"/>
        <v>1</v>
      </c>
      <c r="AG111" s="3" t="str">
        <f t="shared" si="7"/>
        <v>Guernsey</v>
      </c>
      <c r="AH111" s="16" t="b">
        <f>C111=GovExp!C111</f>
        <v>1</v>
      </c>
    </row>
    <row r="112" spans="1:34">
      <c r="A112" s="3" t="s">
        <v>187</v>
      </c>
      <c r="C112" s="16" t="s">
        <v>188</v>
      </c>
      <c r="E112" s="16">
        <v>125674</v>
      </c>
      <c r="G112" s="3">
        <v>0</v>
      </c>
      <c r="H112" s="3"/>
      <c r="I112" s="3">
        <v>0</v>
      </c>
      <c r="J112" s="3"/>
      <c r="K112" s="3">
        <v>0</v>
      </c>
      <c r="L112" s="3"/>
      <c r="M112" s="3">
        <v>28419</v>
      </c>
      <c r="N112" s="3"/>
      <c r="O112" s="3">
        <v>150344</v>
      </c>
      <c r="P112" s="3"/>
      <c r="Q112" s="3">
        <v>0</v>
      </c>
      <c r="R112" s="3"/>
      <c r="S112" s="17">
        <f t="shared" si="4"/>
        <v>178763</v>
      </c>
      <c r="T112" s="3"/>
      <c r="U112" s="3">
        <v>30450</v>
      </c>
      <c r="V112" s="3"/>
      <c r="W112" s="3">
        <f>'St of Net Assets'!O112-U112</f>
        <v>0</v>
      </c>
      <c r="Y112" s="3" t="s">
        <v>406</v>
      </c>
      <c r="AC112" s="20" t="str">
        <f t="shared" si="5"/>
        <v>Perry-Hocking Educ Srv Ctr</v>
      </c>
      <c r="AD112" s="20" t="str">
        <f>GovExp!A112</f>
        <v>Perry-Hocking Educ Srv Ctr</v>
      </c>
      <c r="AE112" s="20" t="b">
        <f t="shared" si="6"/>
        <v>1</v>
      </c>
      <c r="AG112" s="3" t="str">
        <f t="shared" si="7"/>
        <v>Perry</v>
      </c>
      <c r="AH112" s="16" t="b">
        <f>C112=GovExp!C112</f>
        <v>1</v>
      </c>
    </row>
    <row r="113" spans="1:34">
      <c r="A113" s="3" t="s">
        <v>421</v>
      </c>
      <c r="C113" s="16" t="s">
        <v>189</v>
      </c>
      <c r="E113" s="16">
        <v>49072</v>
      </c>
      <c r="G113" s="3">
        <v>0</v>
      </c>
      <c r="H113" s="3"/>
      <c r="I113" s="3">
        <v>0</v>
      </c>
      <c r="J113" s="3"/>
      <c r="K113" s="3">
        <v>0</v>
      </c>
      <c r="L113" s="3"/>
      <c r="M113" s="3">
        <v>0</v>
      </c>
      <c r="N113" s="3"/>
      <c r="O113" s="3">
        <v>204908</v>
      </c>
      <c r="P113" s="3"/>
      <c r="Q113" s="3">
        <v>0</v>
      </c>
      <c r="R113" s="3"/>
      <c r="S113" s="17">
        <f t="shared" si="4"/>
        <v>204908</v>
      </c>
      <c r="T113" s="3"/>
      <c r="U113" s="3">
        <v>1749</v>
      </c>
      <c r="V113" s="3"/>
      <c r="W113" s="3">
        <f>'St of Net Assets'!O113-U113</f>
        <v>0</v>
      </c>
      <c r="Y113" s="32"/>
      <c r="AC113" s="20" t="str">
        <f t="shared" si="5"/>
        <v>Pickaway County Educ Srv Ctr</v>
      </c>
      <c r="AD113" s="20" t="str">
        <f>GovExp!A113</f>
        <v>Pickaway County Educ Srv Ctr</v>
      </c>
      <c r="AE113" s="20" t="b">
        <f t="shared" si="6"/>
        <v>1</v>
      </c>
      <c r="AG113" s="3" t="str">
        <f t="shared" si="7"/>
        <v>Pickaway</v>
      </c>
      <c r="AH113" s="16" t="b">
        <f>C113=GovExp!C113</f>
        <v>1</v>
      </c>
    </row>
    <row r="114" spans="1:34">
      <c r="A114" s="3" t="s">
        <v>408</v>
      </c>
      <c r="C114" s="16" t="s">
        <v>190</v>
      </c>
      <c r="E114" s="16">
        <v>49163</v>
      </c>
      <c r="G114" s="3">
        <v>0</v>
      </c>
      <c r="H114" s="3"/>
      <c r="I114" s="3">
        <v>0</v>
      </c>
      <c r="J114" s="3"/>
      <c r="K114" s="3">
        <v>0</v>
      </c>
      <c r="L114" s="3"/>
      <c r="M114" s="3">
        <v>0</v>
      </c>
      <c r="N114" s="3"/>
      <c r="O114" s="3">
        <v>77636</v>
      </c>
      <c r="P114" s="3"/>
      <c r="Q114" s="3">
        <v>0</v>
      </c>
      <c r="R114" s="3"/>
      <c r="S114" s="17">
        <f t="shared" si="4"/>
        <v>77636</v>
      </c>
      <c r="T114" s="3"/>
      <c r="U114" s="3">
        <v>11043</v>
      </c>
      <c r="V114" s="3"/>
      <c r="W114" s="3">
        <f>'St of Net Assets'!O114-U114</f>
        <v>0</v>
      </c>
      <c r="Y114" s="32"/>
      <c r="AC114" s="20" t="str">
        <f t="shared" si="5"/>
        <v>Portage County Educ Srv Ctr</v>
      </c>
      <c r="AD114" s="20" t="str">
        <f>GovExp!A114</f>
        <v>Portage County Educ Srv Ctr</v>
      </c>
      <c r="AE114" s="20" t="b">
        <f t="shared" si="6"/>
        <v>1</v>
      </c>
      <c r="AG114" s="3" t="str">
        <f t="shared" si="7"/>
        <v>Portage</v>
      </c>
      <c r="AH114" s="16" t="b">
        <f>C114=GovExp!C114</f>
        <v>1</v>
      </c>
    </row>
    <row r="115" spans="1:34" s="66" customFormat="1" hidden="1">
      <c r="A115" s="66" t="s">
        <v>409</v>
      </c>
      <c r="C115" s="66" t="s">
        <v>191</v>
      </c>
      <c r="E115" s="66">
        <v>49254</v>
      </c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7">
        <f t="shared" si="4"/>
        <v>0</v>
      </c>
      <c r="T115" s="65"/>
      <c r="U115" s="65"/>
      <c r="V115" s="65"/>
      <c r="W115" s="65">
        <f>'St of Net Assets'!O115-U115</f>
        <v>0</v>
      </c>
      <c r="Y115" s="80" t="s">
        <v>410</v>
      </c>
      <c r="AC115" s="68" t="str">
        <f t="shared" si="5"/>
        <v>Preble County Educ Srv Ctr (CASH)</v>
      </c>
      <c r="AD115" s="68" t="str">
        <f>GovExp!A115</f>
        <v>Preble County Educ Srv Ctr (CASH)</v>
      </c>
      <c r="AE115" s="68" t="b">
        <f t="shared" si="6"/>
        <v>1</v>
      </c>
      <c r="AG115" s="65" t="str">
        <f t="shared" si="7"/>
        <v>Preble</v>
      </c>
      <c r="AH115" s="66" t="b">
        <f>C115=GovExp!C115</f>
        <v>1</v>
      </c>
    </row>
    <row r="116" spans="1:34">
      <c r="A116" s="3" t="s">
        <v>411</v>
      </c>
      <c r="C116" s="16" t="s">
        <v>192</v>
      </c>
      <c r="E116" s="16">
        <v>49304</v>
      </c>
      <c r="G116" s="3">
        <v>0</v>
      </c>
      <c r="H116" s="3"/>
      <c r="I116" s="3">
        <v>0</v>
      </c>
      <c r="J116" s="3"/>
      <c r="K116" s="3">
        <v>0</v>
      </c>
      <c r="L116" s="3"/>
      <c r="M116" s="3">
        <v>654548</v>
      </c>
      <c r="N116" s="3"/>
      <c r="O116" s="3">
        <v>479086</v>
      </c>
      <c r="P116" s="3"/>
      <c r="Q116" s="3">
        <v>0</v>
      </c>
      <c r="R116" s="3"/>
      <c r="S116" s="17">
        <f t="shared" si="4"/>
        <v>1133634</v>
      </c>
      <c r="T116" s="3"/>
      <c r="U116" s="3">
        <v>162153</v>
      </c>
      <c r="V116" s="3"/>
      <c r="W116" s="3">
        <f>'St of Net Assets'!O116-U116</f>
        <v>0</v>
      </c>
      <c r="Y116" s="3"/>
      <c r="AC116" s="20" t="str">
        <f t="shared" si="5"/>
        <v>Putnam County Educ Srv Ctr</v>
      </c>
      <c r="AD116" s="20" t="str">
        <f>GovExp!A116</f>
        <v>Putnam County Educ Srv Ctr</v>
      </c>
      <c r="AE116" s="20" t="b">
        <f t="shared" si="6"/>
        <v>1</v>
      </c>
      <c r="AG116" s="3" t="str">
        <f t="shared" si="7"/>
        <v>Putnam</v>
      </c>
      <c r="AH116" s="16" t="b">
        <f>C116=GovExp!C116</f>
        <v>1</v>
      </c>
    </row>
    <row r="117" spans="1:34">
      <c r="A117" s="3" t="s">
        <v>412</v>
      </c>
      <c r="C117" s="16" t="s">
        <v>194</v>
      </c>
      <c r="E117" s="16">
        <v>138222</v>
      </c>
      <c r="G117" s="3">
        <v>0</v>
      </c>
      <c r="H117" s="3"/>
      <c r="I117" s="3">
        <v>0</v>
      </c>
      <c r="J117" s="3"/>
      <c r="K117" s="3">
        <v>0</v>
      </c>
      <c r="L117" s="3"/>
      <c r="M117" s="3">
        <v>0</v>
      </c>
      <c r="N117" s="3"/>
      <c r="O117" s="3">
        <v>389743</v>
      </c>
      <c r="P117" s="3"/>
      <c r="Q117" s="3">
        <v>0</v>
      </c>
      <c r="R117" s="3"/>
      <c r="S117" s="17">
        <f t="shared" si="4"/>
        <v>389743</v>
      </c>
      <c r="T117" s="3"/>
      <c r="U117" s="3">
        <v>60705</v>
      </c>
      <c r="V117" s="3"/>
      <c r="W117" s="3">
        <f>'St of Net Assets'!O117-U117</f>
        <v>0</v>
      </c>
      <c r="Y117" s="3"/>
      <c r="AC117" s="20" t="str">
        <f t="shared" si="5"/>
        <v>Ross-Pike Educ Srv District</v>
      </c>
      <c r="AD117" s="20" t="str">
        <f>GovExp!A117</f>
        <v>Ross-Pike Educ Srv District</v>
      </c>
      <c r="AE117" s="20" t="b">
        <f t="shared" si="6"/>
        <v>1</v>
      </c>
      <c r="AG117" s="3" t="str">
        <f t="shared" si="7"/>
        <v>Ross</v>
      </c>
      <c r="AH117" s="16" t="b">
        <f>C117=GovExp!C117</f>
        <v>1</v>
      </c>
    </row>
    <row r="118" spans="1:34" s="66" customFormat="1" hidden="1">
      <c r="A118" s="65" t="s">
        <v>341</v>
      </c>
      <c r="C118" s="66" t="s">
        <v>195</v>
      </c>
      <c r="E118" s="66">
        <v>49551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7">
        <f t="shared" si="4"/>
        <v>0</v>
      </c>
      <c r="T118" s="65"/>
      <c r="U118" s="65"/>
      <c r="V118" s="65"/>
      <c r="W118" s="65">
        <f>'St of Net Assets'!O118-U118</f>
        <v>0</v>
      </c>
      <c r="Y118" s="65" t="s">
        <v>321</v>
      </c>
      <c r="AC118" s="68" t="str">
        <f t="shared" si="5"/>
        <v>Sandusky Educ Srv Ctr - merged with two other ESC</v>
      </c>
      <c r="AD118" s="68" t="str">
        <f>GovExp!A118</f>
        <v>Sandusky Educ Srv Ctr - merged with two other ESC</v>
      </c>
      <c r="AE118" s="68" t="b">
        <f t="shared" si="6"/>
        <v>1</v>
      </c>
      <c r="AG118" s="65" t="str">
        <f t="shared" si="7"/>
        <v>Sandusky</v>
      </c>
      <c r="AH118" s="66" t="b">
        <f>C118=GovExp!C118</f>
        <v>1</v>
      </c>
    </row>
    <row r="119" spans="1:34">
      <c r="A119" s="3" t="s">
        <v>417</v>
      </c>
      <c r="C119" s="16" t="s">
        <v>198</v>
      </c>
      <c r="E119" s="16">
        <v>49742</v>
      </c>
      <c r="G119" s="3">
        <v>0</v>
      </c>
      <c r="H119" s="3"/>
      <c r="I119" s="3">
        <v>0</v>
      </c>
      <c r="J119" s="3"/>
      <c r="K119" s="3">
        <v>0</v>
      </c>
      <c r="L119" s="3"/>
      <c r="M119" s="3">
        <v>48293</v>
      </c>
      <c r="N119" s="3"/>
      <c r="O119" s="3">
        <v>115615</v>
      </c>
      <c r="P119" s="3"/>
      <c r="Q119" s="3">
        <v>0</v>
      </c>
      <c r="R119" s="3"/>
      <c r="S119" s="17">
        <f t="shared" si="4"/>
        <v>163908</v>
      </c>
      <c r="T119" s="3"/>
      <c r="U119" s="3">
        <v>53055</v>
      </c>
      <c r="V119" s="3"/>
      <c r="W119" s="3">
        <f>'St of Net Assets'!O119-U119</f>
        <v>0</v>
      </c>
      <c r="Y119" s="32" t="s">
        <v>418</v>
      </c>
      <c r="AC119" s="20" t="str">
        <f t="shared" si="5"/>
        <v>Shelby County Educ Srv Ctr</v>
      </c>
      <c r="AD119" s="20" t="str">
        <f>GovExp!A119</f>
        <v>Shelby County Educ Srv Ctr</v>
      </c>
      <c r="AE119" s="20" t="b">
        <f t="shared" si="6"/>
        <v>1</v>
      </c>
      <c r="AG119" s="3" t="str">
        <f t="shared" si="7"/>
        <v>Shelby</v>
      </c>
      <c r="AH119" s="16" t="b">
        <f>C119=GovExp!C119</f>
        <v>1</v>
      </c>
    </row>
    <row r="120" spans="1:34">
      <c r="A120" s="3" t="s">
        <v>275</v>
      </c>
      <c r="C120" s="16" t="s">
        <v>196</v>
      </c>
      <c r="E120" s="16">
        <v>125658</v>
      </c>
      <c r="G120" s="3">
        <v>0</v>
      </c>
      <c r="H120" s="3"/>
      <c r="I120" s="3">
        <v>0</v>
      </c>
      <c r="J120" s="3"/>
      <c r="K120" s="3">
        <v>0</v>
      </c>
      <c r="L120" s="3"/>
      <c r="M120" s="3">
        <v>14340</v>
      </c>
      <c r="N120" s="3"/>
      <c r="O120" s="3">
        <v>353578</v>
      </c>
      <c r="P120" s="3"/>
      <c r="Q120" s="3">
        <v>0</v>
      </c>
      <c r="R120" s="3"/>
      <c r="S120" s="17">
        <f t="shared" si="4"/>
        <v>367918</v>
      </c>
      <c r="T120" s="3"/>
      <c r="U120" s="3">
        <v>140569</v>
      </c>
      <c r="V120" s="3"/>
      <c r="W120" s="3">
        <f>'St of Net Assets'!O120-U120</f>
        <v>0</v>
      </c>
      <c r="Y120" s="3"/>
      <c r="AC120" s="20" t="str">
        <f t="shared" si="5"/>
        <v>South Central Ohio Educ Srv Ctr</v>
      </c>
      <c r="AD120" s="20" t="str">
        <f>GovExp!A120</f>
        <v>South Central Ohio Educ Srv Ctr</v>
      </c>
      <c r="AE120" s="20" t="b">
        <f t="shared" si="6"/>
        <v>1</v>
      </c>
      <c r="AG120" s="3" t="str">
        <f t="shared" si="7"/>
        <v>Scioto</v>
      </c>
      <c r="AH120" s="16" t="b">
        <f>C120=GovExp!C120</f>
        <v>1</v>
      </c>
    </row>
    <row r="121" spans="1:34">
      <c r="A121" s="3" t="s">
        <v>274</v>
      </c>
      <c r="B121" s="3"/>
      <c r="C121" s="3" t="s">
        <v>158</v>
      </c>
      <c r="G121" s="3">
        <v>0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287684</v>
      </c>
      <c r="P121" s="3"/>
      <c r="Q121" s="3">
        <v>0</v>
      </c>
      <c r="R121" s="3"/>
      <c r="S121" s="17">
        <f>SUM(G121:R121)</f>
        <v>287684</v>
      </c>
      <c r="T121" s="3"/>
      <c r="U121" s="3">
        <v>31657</v>
      </c>
      <c r="V121" s="3"/>
      <c r="W121" s="3">
        <f>'St of Net Assets'!O121-U121</f>
        <v>0</v>
      </c>
      <c r="Y121" s="19"/>
      <c r="AC121" s="20" t="str">
        <f t="shared" si="5"/>
        <v>Southern Ohio Educ Srv Ctr</v>
      </c>
      <c r="AD121" s="20" t="str">
        <f>GovExp!A121</f>
        <v>Southern Ohio Educ Srv Ctr</v>
      </c>
      <c r="AE121" s="20" t="b">
        <f t="shared" si="6"/>
        <v>1</v>
      </c>
      <c r="AG121" s="3" t="str">
        <f t="shared" si="7"/>
        <v>Clinton</v>
      </c>
      <c r="AH121" s="16" t="b">
        <f>C121=GovExp!C121</f>
        <v>1</v>
      </c>
    </row>
    <row r="122" spans="1:34">
      <c r="A122" s="16" t="s">
        <v>419</v>
      </c>
      <c r="C122" s="16" t="s">
        <v>199</v>
      </c>
      <c r="E122" s="16">
        <v>49825</v>
      </c>
      <c r="G122" s="3">
        <v>0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932511</v>
      </c>
      <c r="P122" s="3"/>
      <c r="Q122" s="3">
        <v>0</v>
      </c>
      <c r="R122" s="3"/>
      <c r="S122" s="17">
        <f t="shared" si="4"/>
        <v>932511</v>
      </c>
      <c r="T122" s="3"/>
      <c r="U122" s="3">
        <v>66076</v>
      </c>
      <c r="V122" s="3"/>
      <c r="W122" s="3">
        <f>'St of Net Assets'!O122-U122</f>
        <v>0</v>
      </c>
      <c r="Y122" s="30"/>
      <c r="AC122" s="20" t="str">
        <f t="shared" si="5"/>
        <v xml:space="preserve">Stark County Educ Srv Ctr  </v>
      </c>
      <c r="AD122" s="20" t="str">
        <f>GovExp!A122</f>
        <v xml:space="preserve">Stark County Educ Srv Ctr  </v>
      </c>
      <c r="AE122" s="20" t="b">
        <f t="shared" si="6"/>
        <v>1</v>
      </c>
      <c r="AG122" s="3" t="str">
        <f t="shared" si="7"/>
        <v>Stark</v>
      </c>
      <c r="AH122" s="16" t="b">
        <f>C122=GovExp!C122</f>
        <v>1</v>
      </c>
    </row>
    <row r="123" spans="1:34">
      <c r="A123" s="3" t="s">
        <v>420</v>
      </c>
      <c r="C123" s="16" t="s">
        <v>200</v>
      </c>
      <c r="E123" s="16">
        <v>49965</v>
      </c>
      <c r="G123" s="3">
        <v>0</v>
      </c>
      <c r="H123" s="3"/>
      <c r="I123" s="3">
        <v>0</v>
      </c>
      <c r="J123" s="3"/>
      <c r="K123" s="3">
        <v>0</v>
      </c>
      <c r="L123" s="3"/>
      <c r="M123" s="3">
        <v>1037732</v>
      </c>
      <c r="N123" s="3"/>
      <c r="O123" s="3">
        <v>162217</v>
      </c>
      <c r="P123" s="3"/>
      <c r="Q123" s="3">
        <v>0</v>
      </c>
      <c r="R123" s="3"/>
      <c r="S123" s="17">
        <f t="shared" si="4"/>
        <v>1199949</v>
      </c>
      <c r="T123" s="3"/>
      <c r="U123" s="3">
        <v>96877</v>
      </c>
      <c r="V123" s="3"/>
      <c r="W123" s="3">
        <f>'St of Net Assets'!O123-U123</f>
        <v>0</v>
      </c>
      <c r="Y123" s="32" t="s">
        <v>305</v>
      </c>
      <c r="AC123" s="20" t="str">
        <f t="shared" si="5"/>
        <v>Summit County Educ Srv Ctr</v>
      </c>
      <c r="AD123" s="20" t="str">
        <f>GovExp!A123</f>
        <v>Summit County Educ Srv Ctr</v>
      </c>
      <c r="AE123" s="20" t="b">
        <f t="shared" si="6"/>
        <v>1</v>
      </c>
      <c r="AG123" s="3" t="str">
        <f t="shared" si="7"/>
        <v>Summit</v>
      </c>
      <c r="AH123" s="16" t="b">
        <f>C123=GovExp!C123</f>
        <v>1</v>
      </c>
    </row>
    <row r="124" spans="1:34">
      <c r="A124" s="3" t="s">
        <v>207</v>
      </c>
      <c r="C124" s="16" t="s">
        <v>208</v>
      </c>
      <c r="E124" s="16">
        <v>50526</v>
      </c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490643</v>
      </c>
      <c r="P124" s="3"/>
      <c r="Q124" s="3">
        <v>0</v>
      </c>
      <c r="R124" s="3"/>
      <c r="S124" s="17">
        <f t="shared" si="4"/>
        <v>490643</v>
      </c>
      <c r="T124" s="3"/>
      <c r="U124" s="3">
        <v>261014</v>
      </c>
      <c r="V124" s="3"/>
      <c r="W124" s="3">
        <f>'St of Net Assets'!O124-U124</f>
        <v>0</v>
      </c>
      <c r="Y124" s="32"/>
      <c r="AC124" s="20" t="str">
        <f t="shared" si="5"/>
        <v>Tri-County Educ Srv Ctr</v>
      </c>
      <c r="AD124" s="20" t="str">
        <f>GovExp!A124</f>
        <v>Tri-County Educ Srv Ctr</v>
      </c>
      <c r="AE124" s="20" t="b">
        <f t="shared" si="6"/>
        <v>1</v>
      </c>
      <c r="AG124" s="3" t="str">
        <f t="shared" si="7"/>
        <v>Wayne</v>
      </c>
      <c r="AH124" s="16" t="b">
        <f>C124=GovExp!C124</f>
        <v>1</v>
      </c>
    </row>
    <row r="125" spans="1:34">
      <c r="A125" s="3" t="s">
        <v>422</v>
      </c>
      <c r="C125" s="16" t="s">
        <v>201</v>
      </c>
      <c r="E125" s="16">
        <v>50088</v>
      </c>
      <c r="G125" s="3">
        <v>0</v>
      </c>
      <c r="H125" s="3"/>
      <c r="I125" s="3">
        <v>0</v>
      </c>
      <c r="J125" s="3"/>
      <c r="K125" s="3">
        <v>0</v>
      </c>
      <c r="L125" s="3"/>
      <c r="M125" s="3">
        <v>34512</v>
      </c>
      <c r="N125" s="3"/>
      <c r="O125" s="3">
        <v>735848</v>
      </c>
      <c r="P125" s="3"/>
      <c r="Q125" s="3">
        <v>0</v>
      </c>
      <c r="R125" s="3"/>
      <c r="S125" s="17">
        <f t="shared" si="4"/>
        <v>770360</v>
      </c>
      <c r="T125" s="3"/>
      <c r="U125" s="3">
        <v>104585</v>
      </c>
      <c r="V125" s="3"/>
      <c r="W125" s="3">
        <f>'St of Net Assets'!O125-U125</f>
        <v>0</v>
      </c>
      <c r="Y125" s="3"/>
      <c r="AC125" s="20" t="str">
        <f t="shared" si="5"/>
        <v>Trumbull County Educ Srv Ctr</v>
      </c>
      <c r="AD125" s="20" t="str">
        <f>GovExp!A125</f>
        <v>Trumbull County Educ Srv Ctr</v>
      </c>
      <c r="AE125" s="20" t="b">
        <f t="shared" si="6"/>
        <v>1</v>
      </c>
      <c r="AG125" s="3" t="str">
        <f t="shared" si="7"/>
        <v>Trumbull</v>
      </c>
      <c r="AH125" s="16" t="b">
        <f>C125=GovExp!C125</f>
        <v>1</v>
      </c>
    </row>
    <row r="126" spans="1:34" s="66" customFormat="1" hidden="1">
      <c r="A126" s="65" t="s">
        <v>342</v>
      </c>
      <c r="C126" s="66" t="s">
        <v>202</v>
      </c>
      <c r="E126" s="66">
        <v>50260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7">
        <f t="shared" si="4"/>
        <v>0</v>
      </c>
      <c r="T126" s="65"/>
      <c r="U126" s="65"/>
      <c r="V126" s="65"/>
      <c r="W126" s="65">
        <f>'St of Net Assets'!O126-U126</f>
        <v>0</v>
      </c>
      <c r="Y126" s="65"/>
      <c r="AC126" s="68" t="str">
        <f t="shared" si="5"/>
        <v>Tuscarawas-Carroll-Harrison Educ Srv Ctr - now East Ctl OH ESC</v>
      </c>
      <c r="AD126" s="68" t="str">
        <f>GovExp!A126</f>
        <v>Tuscarawas-Carroll-Harrison Educ Srv Ctr - now East Ctl OH ESC</v>
      </c>
      <c r="AE126" s="68" t="b">
        <f t="shared" si="6"/>
        <v>1</v>
      </c>
      <c r="AG126" s="65" t="str">
        <f t="shared" si="7"/>
        <v>Tuscarawas</v>
      </c>
      <c r="AH126" s="66" t="b">
        <f>C126=GovExp!C126</f>
        <v>1</v>
      </c>
    </row>
    <row r="127" spans="1:34" s="66" customFormat="1" hidden="1">
      <c r="A127" s="65" t="s">
        <v>424</v>
      </c>
      <c r="C127" s="66" t="s">
        <v>205</v>
      </c>
      <c r="E127" s="66">
        <v>50401</v>
      </c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7">
        <f t="shared" si="4"/>
        <v>0</v>
      </c>
      <c r="T127" s="65"/>
      <c r="U127" s="65"/>
      <c r="V127" s="65"/>
      <c r="W127" s="65">
        <f>'St of Net Assets'!O127-U127</f>
        <v>0</v>
      </c>
      <c r="Y127" s="80" t="s">
        <v>410</v>
      </c>
      <c r="AC127" s="68" t="str">
        <f t="shared" si="5"/>
        <v>Warren County Educ Srv Ctr (CASH)</v>
      </c>
      <c r="AD127" s="68" t="str">
        <f>GovExp!A127</f>
        <v>Warren County Educ Srv Ctr (CASH)</v>
      </c>
      <c r="AE127" s="68" t="b">
        <f t="shared" si="6"/>
        <v>1</v>
      </c>
      <c r="AG127" s="65" t="str">
        <f t="shared" si="7"/>
        <v>Warren</v>
      </c>
      <c r="AH127" s="66" t="b">
        <f>C127=GovExp!C127</f>
        <v>1</v>
      </c>
    </row>
    <row r="128" spans="1:34" s="66" customFormat="1" hidden="1">
      <c r="A128" s="65" t="s">
        <v>343</v>
      </c>
      <c r="C128" s="66" t="s">
        <v>206</v>
      </c>
      <c r="E128" s="66">
        <v>50476</v>
      </c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7">
        <f t="shared" si="4"/>
        <v>0</v>
      </c>
      <c r="T128" s="65"/>
      <c r="U128" s="65"/>
      <c r="V128" s="65"/>
      <c r="W128" s="65">
        <f>'St of Net Assets'!O128-U128</f>
        <v>0</v>
      </c>
      <c r="AC128" s="68" t="str">
        <f t="shared" si="5"/>
        <v>Washington Educ Srv Ctr - merged with Ohio Valley ESC</v>
      </c>
      <c r="AD128" s="68" t="str">
        <f>GovExp!A128</f>
        <v>Washington Educ Srv Ctr - merged with Ohio Valley ESC</v>
      </c>
      <c r="AE128" s="68" t="b">
        <f t="shared" si="6"/>
        <v>1</v>
      </c>
      <c r="AG128" s="65" t="str">
        <f t="shared" si="7"/>
        <v>Washington</v>
      </c>
      <c r="AH128" s="66" t="b">
        <f>C128=GovExp!C128</f>
        <v>1</v>
      </c>
    </row>
    <row r="129" spans="1:34">
      <c r="A129" s="3" t="s">
        <v>203</v>
      </c>
      <c r="C129" s="16" t="s">
        <v>270</v>
      </c>
      <c r="E129" s="16">
        <v>134999</v>
      </c>
      <c r="G129" s="3">
        <v>0</v>
      </c>
      <c r="H129" s="3"/>
      <c r="I129" s="3">
        <v>0</v>
      </c>
      <c r="J129" s="3"/>
      <c r="K129" s="3">
        <v>0</v>
      </c>
      <c r="L129" s="3"/>
      <c r="M129" s="3">
        <v>0</v>
      </c>
      <c r="N129" s="3"/>
      <c r="O129" s="3">
        <v>19343</v>
      </c>
      <c r="P129" s="3"/>
      <c r="Q129" s="3">
        <v>0</v>
      </c>
      <c r="R129" s="3"/>
      <c r="S129" s="17">
        <f t="shared" si="4"/>
        <v>19343</v>
      </c>
      <c r="T129" s="3"/>
      <c r="U129" s="3">
        <v>19343</v>
      </c>
      <c r="V129" s="3"/>
      <c r="W129" s="3">
        <f>'St of Net Assets'!O129-U129</f>
        <v>0</v>
      </c>
      <c r="Y129" s="3"/>
      <c r="AC129" s="20" t="str">
        <f t="shared" si="5"/>
        <v>Western Buckeye Educ Srv Ctr</v>
      </c>
      <c r="AD129" s="20" t="str">
        <f>GovExp!A129</f>
        <v>Western Buckeye Educ Srv Ctr</v>
      </c>
      <c r="AE129" s="20" t="b">
        <f t="shared" si="6"/>
        <v>1</v>
      </c>
      <c r="AG129" s="3" t="str">
        <f t="shared" si="7"/>
        <v>Paulding</v>
      </c>
      <c r="AH129" s="16" t="b">
        <f>C129=GovExp!C129</f>
        <v>1</v>
      </c>
    </row>
    <row r="130" spans="1:34">
      <c r="A130" s="3" t="s">
        <v>423</v>
      </c>
      <c r="C130" s="16" t="s">
        <v>209</v>
      </c>
      <c r="E130" s="16">
        <v>50666</v>
      </c>
      <c r="G130" s="3">
        <v>0</v>
      </c>
      <c r="H130" s="3"/>
      <c r="I130" s="3">
        <v>0</v>
      </c>
      <c r="J130" s="3"/>
      <c r="K130" s="3">
        <v>0</v>
      </c>
      <c r="L130" s="3"/>
      <c r="M130" s="3">
        <v>0</v>
      </c>
      <c r="N130" s="3"/>
      <c r="O130" s="3">
        <v>797746</v>
      </c>
      <c r="P130" s="3"/>
      <c r="Q130" s="3">
        <v>0</v>
      </c>
      <c r="R130" s="3"/>
      <c r="S130" s="17">
        <f t="shared" si="4"/>
        <v>797746</v>
      </c>
      <c r="T130" s="3"/>
      <c r="U130" s="3">
        <v>100452</v>
      </c>
      <c r="V130" s="3"/>
      <c r="W130" s="3">
        <f>'St of Net Assets'!O130-U130</f>
        <v>0</v>
      </c>
      <c r="Y130" s="3"/>
      <c r="AC130" s="20" t="str">
        <f t="shared" si="5"/>
        <v>Wood County Educ Srv Ctr</v>
      </c>
      <c r="AD130" s="20" t="str">
        <f>GovExp!A130</f>
        <v>Wood County Educ Srv Ctr</v>
      </c>
      <c r="AE130" s="20" t="b">
        <f t="shared" si="6"/>
        <v>1</v>
      </c>
      <c r="AG130" s="3" t="str">
        <f t="shared" si="7"/>
        <v>Wood</v>
      </c>
      <c r="AH130" s="16" t="b">
        <f>C130=GovExp!C130</f>
        <v>1</v>
      </c>
    </row>
    <row r="131" spans="1:34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34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45" spans="7:21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7"/>
      <c r="T145" s="3"/>
      <c r="U145" s="3"/>
    </row>
  </sheetData>
  <phoneticPr fontId="3" type="noConversion"/>
  <pageMargins left="0.9" right="0.75" top="0.5" bottom="0.5" header="0.25" footer="0.25"/>
  <pageSetup scale="80" firstPageNumber="70" pageOrder="overThenDown" orientation="portrait" useFirstPageNumber="1" r:id="rId1"/>
  <headerFooter scaleWithDoc="0" alignWithMargins="0"/>
  <rowBreaks count="1" manualBreakCount="1">
    <brk id="6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139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8" sqref="A8"/>
    </sheetView>
  </sheetViews>
  <sheetFormatPr defaultRowHeight="12"/>
  <cols>
    <col min="1" max="1" width="40.7109375" style="33" customWidth="1"/>
    <col min="2" max="2" width="2.28515625" style="33" customWidth="1"/>
    <col min="3" max="3" width="9.140625" style="33"/>
    <col min="4" max="4" width="1.7109375" style="33" hidden="1" customWidth="1"/>
    <col min="5" max="5" width="9.140625" style="33" hidden="1" customWidth="1"/>
    <col min="6" max="6" width="1.7109375" style="33" customWidth="1"/>
    <col min="7" max="7" width="9.7109375" style="33" customWidth="1"/>
    <col min="8" max="8" width="1.7109375" style="33" customWidth="1"/>
    <col min="9" max="9" width="9.7109375" style="33" customWidth="1"/>
    <col min="10" max="10" width="1.7109375" style="33" customWidth="1"/>
    <col min="11" max="11" width="9.7109375" style="33" customWidth="1"/>
    <col min="12" max="12" width="1.7109375" style="33" customWidth="1"/>
    <col min="13" max="13" width="9.7109375" style="33" customWidth="1"/>
    <col min="14" max="14" width="1.7109375" style="33" customWidth="1"/>
    <col min="15" max="15" width="9.28515625" style="33" bestFit="1" customWidth="1"/>
    <col min="16" max="16" width="1.28515625" style="34" customWidth="1"/>
    <col min="17" max="17" width="9.7109375" style="33" customWidth="1"/>
    <col min="18" max="18" width="1.28515625" style="33" customWidth="1"/>
    <col min="19" max="19" width="8.7109375" style="33" bestFit="1" customWidth="1"/>
    <col min="20" max="20" width="1.28515625" style="33" customWidth="1"/>
    <col min="21" max="21" width="9.5703125" style="33" bestFit="1" customWidth="1"/>
    <col min="22" max="22" width="1.28515625" style="33" customWidth="1"/>
    <col min="23" max="23" width="10.5703125" style="33" bestFit="1" customWidth="1"/>
    <col min="24" max="24" width="1.28515625" style="33" customWidth="1"/>
    <col min="25" max="25" width="10.85546875" style="33" bestFit="1" customWidth="1"/>
    <col min="26" max="26" width="1.28515625" style="33" customWidth="1"/>
    <col min="27" max="27" width="8.140625" style="33" bestFit="1" customWidth="1"/>
    <col min="28" max="28" width="1.28515625" style="33" customWidth="1"/>
    <col min="29" max="29" width="10.140625" style="33" customWidth="1"/>
    <col min="30" max="30" width="1.28515625" style="33" customWidth="1"/>
    <col min="31" max="31" width="10.85546875" style="33" bestFit="1" customWidth="1"/>
    <col min="32" max="32" width="1.28515625" style="33" customWidth="1"/>
    <col min="33" max="33" width="10.85546875" style="33" bestFit="1" customWidth="1"/>
    <col min="34" max="34" width="3.140625" style="33" customWidth="1"/>
    <col min="35" max="35" width="24.7109375" style="33" customWidth="1"/>
    <col min="36" max="16384" width="9.140625" style="33"/>
  </cols>
  <sheetData>
    <row r="1" spans="1:39" s="16" customFormat="1">
      <c r="A1" s="19" t="s">
        <v>22</v>
      </c>
      <c r="B1" s="19"/>
      <c r="C1" s="19"/>
      <c r="D1" s="19"/>
      <c r="E1" s="19"/>
      <c r="G1" s="3"/>
      <c r="H1" s="3"/>
      <c r="I1" s="3"/>
      <c r="J1" s="3"/>
      <c r="K1" s="3"/>
      <c r="L1" s="3"/>
      <c r="M1" s="3"/>
      <c r="N1" s="3"/>
      <c r="O1" s="3"/>
      <c r="P1" s="1"/>
      <c r="Q1" s="3"/>
      <c r="R1" s="3"/>
      <c r="S1" s="3"/>
      <c r="T1" s="3"/>
      <c r="U1" s="3"/>
      <c r="V1" s="3"/>
      <c r="W1" s="3"/>
      <c r="X1" s="33"/>
      <c r="Y1" s="3"/>
      <c r="Z1" s="3"/>
      <c r="AA1" s="3"/>
      <c r="AB1" s="3"/>
      <c r="AC1" s="3"/>
      <c r="AD1" s="3"/>
      <c r="AE1" s="3"/>
    </row>
    <row r="2" spans="1:39" s="16" customFormat="1">
      <c r="A2" s="19" t="s">
        <v>298</v>
      </c>
      <c r="B2" s="19"/>
      <c r="C2" s="19"/>
      <c r="D2" s="19"/>
      <c r="E2" s="19"/>
      <c r="G2" s="3"/>
      <c r="H2" s="3"/>
      <c r="I2" s="3"/>
      <c r="J2" s="3"/>
      <c r="K2" s="3"/>
      <c r="L2" s="3"/>
      <c r="M2" s="3"/>
      <c r="N2" s="3"/>
      <c r="O2" s="3"/>
      <c r="P2" s="1"/>
      <c r="Q2" s="3"/>
      <c r="R2" s="3"/>
      <c r="S2" s="3"/>
      <c r="T2" s="3"/>
      <c r="U2" s="3"/>
      <c r="V2" s="3"/>
      <c r="W2" s="3"/>
      <c r="X2" s="33"/>
      <c r="Y2" s="3"/>
      <c r="Z2" s="3"/>
      <c r="AA2" s="3"/>
      <c r="AB2" s="3"/>
      <c r="AC2" s="3"/>
      <c r="AD2" s="3"/>
      <c r="AE2" s="3"/>
    </row>
    <row r="3" spans="1:39" s="16" customFormat="1">
      <c r="A3" s="99" t="s">
        <v>266</v>
      </c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3"/>
      <c r="S3" s="3"/>
      <c r="T3" s="3"/>
      <c r="U3" s="3"/>
      <c r="V3" s="3"/>
      <c r="W3" s="3"/>
      <c r="X3" s="33"/>
      <c r="Y3" s="3"/>
      <c r="Z3" s="3"/>
      <c r="AA3" s="3"/>
      <c r="AB3" s="3"/>
      <c r="AC3" s="3"/>
      <c r="AD3" s="3"/>
      <c r="AE3" s="3"/>
      <c r="AH3" s="98" t="s">
        <v>266</v>
      </c>
    </row>
    <row r="4" spans="1:39" s="16" customFormat="1">
      <c r="A4" s="7" t="s">
        <v>269</v>
      </c>
      <c r="B4" s="19"/>
      <c r="C4" s="19"/>
      <c r="D4" s="19"/>
      <c r="E4" s="19"/>
      <c r="G4" s="3"/>
      <c r="H4" s="3"/>
      <c r="I4" s="3"/>
      <c r="J4" s="3"/>
      <c r="K4" s="3"/>
      <c r="L4" s="3"/>
      <c r="M4" s="3"/>
      <c r="N4" s="3"/>
      <c r="O4" s="3"/>
      <c r="P4" s="1"/>
      <c r="Q4" s="3"/>
      <c r="R4" s="3"/>
      <c r="S4" s="3"/>
      <c r="T4" s="3"/>
      <c r="U4" s="3"/>
      <c r="V4" s="3"/>
      <c r="W4" s="3"/>
      <c r="X4" s="33"/>
      <c r="Y4" s="3"/>
      <c r="Z4" s="3"/>
      <c r="AA4" s="3"/>
      <c r="AB4" s="3"/>
      <c r="AC4" s="3"/>
      <c r="AD4" s="3"/>
      <c r="AE4" s="3"/>
    </row>
    <row r="5" spans="1:39" s="16" customFormat="1">
      <c r="A5" s="19"/>
      <c r="B5" s="19"/>
      <c r="C5" s="19"/>
      <c r="D5" s="19"/>
      <c r="E5" s="19"/>
      <c r="G5" s="3"/>
      <c r="H5" s="3"/>
      <c r="I5" s="3"/>
      <c r="J5" s="3"/>
      <c r="K5" s="3"/>
      <c r="L5" s="3"/>
      <c r="M5" s="3"/>
      <c r="N5" s="3"/>
      <c r="O5" s="3"/>
      <c r="P5" s="1"/>
      <c r="Q5" s="3"/>
      <c r="R5" s="3"/>
      <c r="S5" s="3"/>
      <c r="T5" s="3"/>
      <c r="U5" s="3"/>
      <c r="V5" s="3"/>
      <c r="W5" s="3"/>
      <c r="X5" s="33"/>
      <c r="Y5" s="3"/>
      <c r="Z5" s="3"/>
      <c r="AA5" s="3"/>
      <c r="AB5" s="3"/>
      <c r="AC5" s="3"/>
      <c r="AD5" s="3"/>
      <c r="AE5" s="3"/>
      <c r="AG5" s="16" t="s">
        <v>279</v>
      </c>
    </row>
    <row r="6" spans="1:39" s="22" customFormat="1">
      <c r="A6" s="35" t="s">
        <v>380</v>
      </c>
      <c r="F6" s="5"/>
      <c r="G6" s="101" t="s">
        <v>23</v>
      </c>
      <c r="H6" s="101"/>
      <c r="I6" s="101"/>
      <c r="J6" s="101"/>
      <c r="K6" s="101"/>
      <c r="L6" s="2" t="s">
        <v>24</v>
      </c>
      <c r="M6" s="2"/>
      <c r="N6" s="11"/>
      <c r="O6" s="101" t="s">
        <v>427</v>
      </c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55"/>
      <c r="AA6" s="11"/>
      <c r="AB6" s="11"/>
      <c r="AC6" s="11" t="s">
        <v>8</v>
      </c>
      <c r="AD6" s="11"/>
      <c r="AE6" s="11"/>
      <c r="AG6" s="22" t="s">
        <v>280</v>
      </c>
    </row>
    <row r="7" spans="1:39" s="22" customFormat="1">
      <c r="G7" s="11"/>
      <c r="H7" s="11"/>
      <c r="I7" s="11" t="s">
        <v>25</v>
      </c>
      <c r="J7" s="11"/>
      <c r="K7" s="11"/>
      <c r="L7" s="11"/>
      <c r="M7" s="11"/>
      <c r="N7" s="11"/>
      <c r="O7" s="11"/>
      <c r="P7" s="2"/>
      <c r="Q7" s="11"/>
      <c r="R7" s="11"/>
      <c r="S7" s="11"/>
      <c r="T7" s="11"/>
      <c r="U7" s="11"/>
      <c r="V7" s="11"/>
      <c r="W7" s="11" t="s">
        <v>19</v>
      </c>
      <c r="X7" s="11"/>
      <c r="Y7" s="11"/>
      <c r="Z7" s="55"/>
      <c r="AA7" s="2"/>
      <c r="AB7" s="2"/>
      <c r="AC7" s="11" t="s">
        <v>26</v>
      </c>
      <c r="AD7" s="11"/>
      <c r="AE7" s="11"/>
      <c r="AG7" s="11" t="s">
        <v>281</v>
      </c>
      <c r="AH7" s="11"/>
      <c r="AI7" s="11"/>
    </row>
    <row r="8" spans="1:39" s="22" customFormat="1">
      <c r="G8" s="11"/>
      <c r="H8" s="11"/>
      <c r="I8" s="11" t="s">
        <v>27</v>
      </c>
      <c r="J8" s="11"/>
      <c r="K8" s="11"/>
      <c r="L8" s="11"/>
      <c r="M8" s="11" t="s">
        <v>8</v>
      </c>
      <c r="N8" s="11"/>
      <c r="P8" s="23"/>
      <c r="Q8" s="22" t="s">
        <v>19</v>
      </c>
      <c r="U8" s="22" t="s">
        <v>29</v>
      </c>
      <c r="W8" s="9" t="s">
        <v>30</v>
      </c>
      <c r="Z8" s="55"/>
      <c r="AC8" s="2" t="s">
        <v>32</v>
      </c>
      <c r="AD8" s="2"/>
      <c r="AE8" s="2" t="s">
        <v>31</v>
      </c>
      <c r="AG8" s="11" t="s">
        <v>282</v>
      </c>
      <c r="AH8" s="11"/>
      <c r="AI8" s="11"/>
    </row>
    <row r="9" spans="1:39" s="22" customFormat="1">
      <c r="A9" s="9"/>
      <c r="B9" s="9"/>
      <c r="C9" s="9"/>
      <c r="D9" s="9"/>
      <c r="E9" s="9"/>
      <c r="F9" s="9"/>
      <c r="G9" s="11" t="s">
        <v>33</v>
      </c>
      <c r="H9" s="11"/>
      <c r="I9" s="11" t="s">
        <v>30</v>
      </c>
      <c r="J9" s="11"/>
      <c r="K9" s="11" t="s">
        <v>6</v>
      </c>
      <c r="L9" s="11"/>
      <c r="M9" s="11" t="s">
        <v>34</v>
      </c>
      <c r="N9" s="11"/>
      <c r="O9" s="2" t="s">
        <v>35</v>
      </c>
      <c r="P9" s="2"/>
      <c r="Q9" s="2" t="s">
        <v>36</v>
      </c>
      <c r="R9" s="2"/>
      <c r="S9" s="11" t="s">
        <v>37</v>
      </c>
      <c r="T9" s="11"/>
      <c r="U9" s="2" t="s">
        <v>40</v>
      </c>
      <c r="V9" s="2"/>
      <c r="W9" s="9" t="s">
        <v>41</v>
      </c>
      <c r="X9" s="2"/>
      <c r="Y9" s="11"/>
      <c r="Z9" s="55"/>
      <c r="AA9" s="2" t="s">
        <v>42</v>
      </c>
      <c r="AB9" s="2"/>
      <c r="AC9" s="2" t="s">
        <v>41</v>
      </c>
      <c r="AD9" s="11"/>
      <c r="AE9" s="11" t="s">
        <v>43</v>
      </c>
      <c r="AG9" s="11" t="s">
        <v>31</v>
      </c>
      <c r="AH9" s="11"/>
      <c r="AI9" s="11"/>
    </row>
    <row r="10" spans="1:39" s="22" customFormat="1">
      <c r="A10" s="54" t="s">
        <v>295</v>
      </c>
      <c r="C10" s="54" t="s">
        <v>12</v>
      </c>
      <c r="E10" s="54" t="s">
        <v>13</v>
      </c>
      <c r="F10" s="9"/>
      <c r="G10" s="84" t="s">
        <v>44</v>
      </c>
      <c r="H10" s="11"/>
      <c r="I10" s="84" t="s">
        <v>45</v>
      </c>
      <c r="J10" s="11"/>
      <c r="K10" s="84" t="s">
        <v>46</v>
      </c>
      <c r="L10" s="2"/>
      <c r="M10" s="84" t="s">
        <v>32</v>
      </c>
      <c r="N10" s="11"/>
      <c r="O10" s="84" t="s">
        <v>47</v>
      </c>
      <c r="P10" s="2"/>
      <c r="Q10" s="84" t="s">
        <v>48</v>
      </c>
      <c r="R10" s="2"/>
      <c r="S10" s="84" t="s">
        <v>49</v>
      </c>
      <c r="T10" s="2"/>
      <c r="U10" s="84" t="s">
        <v>47</v>
      </c>
      <c r="V10" s="2"/>
      <c r="W10" s="14" t="s">
        <v>52</v>
      </c>
      <c r="X10" s="11"/>
      <c r="Y10" s="84" t="s">
        <v>129</v>
      </c>
      <c r="Z10" s="55"/>
      <c r="AA10" s="54" t="s">
        <v>248</v>
      </c>
      <c r="AB10" s="23"/>
      <c r="AC10" s="84" t="s">
        <v>68</v>
      </c>
      <c r="AD10" s="11"/>
      <c r="AE10" s="84" t="s">
        <v>53</v>
      </c>
      <c r="AF10" s="23"/>
      <c r="AG10" s="84" t="s">
        <v>247</v>
      </c>
      <c r="AH10" s="2"/>
      <c r="AI10" s="2"/>
    </row>
    <row r="11" spans="1:39" s="22" customFormat="1">
      <c r="A11" s="23"/>
      <c r="C11" s="23"/>
      <c r="E11" s="23"/>
      <c r="F11" s="9"/>
      <c r="G11" s="2"/>
      <c r="H11" s="11"/>
      <c r="I11" s="2"/>
      <c r="J11" s="11"/>
      <c r="K11" s="2"/>
      <c r="L11" s="2"/>
      <c r="M11" s="2"/>
      <c r="N11" s="11"/>
      <c r="O11" s="2"/>
      <c r="P11" s="2"/>
      <c r="Q11" s="2"/>
      <c r="R11" s="2"/>
      <c r="S11" s="2"/>
      <c r="T11" s="2"/>
      <c r="U11" s="2"/>
      <c r="V11" s="2"/>
      <c r="W11" s="9"/>
      <c r="X11" s="11"/>
      <c r="Y11" s="2"/>
      <c r="Z11" s="55"/>
      <c r="AA11" s="23"/>
      <c r="AB11" s="23"/>
      <c r="AC11" s="2"/>
      <c r="AD11" s="11"/>
      <c r="AE11" s="2"/>
      <c r="AF11" s="23"/>
      <c r="AG11" s="2"/>
      <c r="AH11" s="2"/>
      <c r="AI11" s="2"/>
    </row>
    <row r="12" spans="1:39" s="22" customFormat="1">
      <c r="A12" s="38" t="s">
        <v>264</v>
      </c>
      <c r="C12" s="23"/>
      <c r="E12" s="23"/>
      <c r="F12" s="9"/>
      <c r="G12" s="2"/>
      <c r="H12" s="11"/>
      <c r="I12" s="2"/>
      <c r="J12" s="11"/>
      <c r="K12" s="2"/>
      <c r="L12" s="2"/>
      <c r="M12" s="2"/>
      <c r="N12" s="11"/>
      <c r="O12" s="2"/>
      <c r="P12" s="2"/>
      <c r="Q12" s="2"/>
      <c r="R12" s="2"/>
      <c r="S12" s="2"/>
      <c r="T12" s="2"/>
      <c r="U12" s="2"/>
      <c r="V12" s="2"/>
      <c r="W12" s="9"/>
      <c r="X12" s="11"/>
      <c r="Y12" s="2"/>
      <c r="Z12" s="55"/>
      <c r="AA12" s="23"/>
      <c r="AB12" s="23"/>
      <c r="AC12" s="2"/>
      <c r="AD12" s="11"/>
      <c r="AE12" s="11"/>
      <c r="AG12" s="2"/>
      <c r="AH12" s="2"/>
      <c r="AI12" s="2"/>
    </row>
    <row r="13" spans="1:39" s="22" customFormat="1">
      <c r="A13" s="38"/>
      <c r="C13" s="23"/>
      <c r="E13" s="23"/>
      <c r="F13" s="9"/>
      <c r="G13" s="2"/>
      <c r="H13" s="11"/>
      <c r="I13" s="2"/>
      <c r="J13" s="11"/>
      <c r="K13" s="2"/>
      <c r="L13" s="2"/>
      <c r="M13" s="2"/>
      <c r="N13" s="11"/>
      <c r="O13" s="2"/>
      <c r="P13" s="2"/>
      <c r="Q13" s="2"/>
      <c r="R13" s="2"/>
      <c r="S13" s="2"/>
      <c r="T13" s="2"/>
      <c r="U13" s="2"/>
      <c r="V13" s="2"/>
      <c r="W13" s="9"/>
      <c r="X13" s="11"/>
      <c r="Y13" s="2"/>
      <c r="Z13" s="55"/>
      <c r="AA13" s="23"/>
      <c r="AB13" s="23"/>
      <c r="AC13" s="2"/>
      <c r="AD13" s="11"/>
      <c r="AE13" s="11"/>
      <c r="AG13" s="2"/>
      <c r="AH13" s="2"/>
      <c r="AI13" s="2"/>
    </row>
    <row r="14" spans="1:39" s="22" customFormat="1">
      <c r="A14" s="3" t="s">
        <v>306</v>
      </c>
      <c r="B14" s="3"/>
      <c r="C14" s="3" t="s">
        <v>272</v>
      </c>
      <c r="E14" s="23"/>
      <c r="F14" s="9"/>
      <c r="G14" s="20">
        <v>1014841</v>
      </c>
      <c r="H14" s="20"/>
      <c r="I14" s="20">
        <v>1064137</v>
      </c>
      <c r="J14" s="20"/>
      <c r="K14" s="20">
        <v>0</v>
      </c>
      <c r="L14" s="20"/>
      <c r="M14" s="20">
        <f>SUM(G14:L14)</f>
        <v>2078978</v>
      </c>
      <c r="N14" s="20"/>
      <c r="O14" s="20">
        <f>3077509+637099</f>
        <v>3714608</v>
      </c>
      <c r="P14" s="91"/>
      <c r="Q14" s="20">
        <v>6318710</v>
      </c>
      <c r="R14" s="20"/>
      <c r="S14" s="20">
        <v>76540</v>
      </c>
      <c r="T14" s="20"/>
      <c r="U14" s="20">
        <v>0</v>
      </c>
      <c r="V14" s="20"/>
      <c r="W14" s="20">
        <v>0</v>
      </c>
      <c r="X14" s="20"/>
      <c r="Y14" s="20">
        <v>75827</v>
      </c>
      <c r="Z14" s="92"/>
      <c r="AA14" s="20">
        <v>0</v>
      </c>
      <c r="AB14" s="20"/>
      <c r="AC14" s="20">
        <f t="shared" ref="AC14:AC22" si="0">SUM(O14:AA14)</f>
        <v>10185685</v>
      </c>
      <c r="AD14" s="20"/>
      <c r="AE14" s="20">
        <v>0</v>
      </c>
      <c r="AF14" s="20"/>
      <c r="AG14" s="20">
        <f t="shared" ref="AG14:AG45" si="1">+AC14+M14</f>
        <v>12264663</v>
      </c>
      <c r="AH14" s="20"/>
      <c r="AI14" s="16" t="s">
        <v>303</v>
      </c>
      <c r="AJ14" s="33"/>
      <c r="AK14" s="33"/>
      <c r="AL14" s="33"/>
      <c r="AM14" s="33"/>
    </row>
    <row r="15" spans="1:39">
      <c r="A15" s="3" t="s">
        <v>249</v>
      </c>
      <c r="B15" s="16"/>
      <c r="C15" s="16" t="s">
        <v>146</v>
      </c>
      <c r="E15" s="16">
        <v>62042</v>
      </c>
      <c r="G15" s="3">
        <v>887097</v>
      </c>
      <c r="H15" s="3"/>
      <c r="I15" s="3">
        <v>1522455</v>
      </c>
      <c r="J15" s="3"/>
      <c r="K15" s="3">
        <v>100990</v>
      </c>
      <c r="L15" s="3"/>
      <c r="M15" s="3">
        <f>SUM(G15:L15)</f>
        <v>2510542</v>
      </c>
      <c r="N15" s="3"/>
      <c r="O15" s="3">
        <f>2756340+432550</f>
        <v>3188890</v>
      </c>
      <c r="P15" s="1"/>
      <c r="Q15" s="3">
        <v>2880081</v>
      </c>
      <c r="R15" s="3"/>
      <c r="S15" s="3">
        <v>32053</v>
      </c>
      <c r="T15" s="3"/>
      <c r="U15" s="3">
        <v>0</v>
      </c>
      <c r="V15" s="3"/>
      <c r="W15" s="3">
        <v>0</v>
      </c>
      <c r="X15" s="3"/>
      <c r="Y15" s="3">
        <v>41578</v>
      </c>
      <c r="Z15" s="36"/>
      <c r="AA15" s="3">
        <v>0</v>
      </c>
      <c r="AB15" s="3"/>
      <c r="AC15" s="3">
        <f t="shared" si="0"/>
        <v>6142602</v>
      </c>
      <c r="AD15" s="3"/>
      <c r="AE15" s="3">
        <v>0</v>
      </c>
      <c r="AF15" s="3"/>
      <c r="AG15" s="3">
        <f t="shared" si="1"/>
        <v>8653144</v>
      </c>
      <c r="AH15" s="20"/>
      <c r="AI15" s="3"/>
    </row>
    <row r="16" spans="1:39">
      <c r="A16" s="3" t="s">
        <v>210</v>
      </c>
      <c r="B16" s="16"/>
      <c r="C16" s="16" t="s">
        <v>147</v>
      </c>
      <c r="E16" s="16">
        <v>50815</v>
      </c>
      <c r="G16" s="3">
        <v>1299936</v>
      </c>
      <c r="H16" s="3"/>
      <c r="I16" s="3">
        <v>3327031</v>
      </c>
      <c r="J16" s="3"/>
      <c r="K16" s="3">
        <v>129534</v>
      </c>
      <c r="L16" s="3"/>
      <c r="M16" s="3">
        <f>SUM(G16:L16)</f>
        <v>4756501</v>
      </c>
      <c r="N16" s="3"/>
      <c r="O16" s="3">
        <f>3703628+555728</f>
        <v>4259356</v>
      </c>
      <c r="P16" s="1"/>
      <c r="Q16" s="3">
        <v>6559875</v>
      </c>
      <c r="R16" s="3"/>
      <c r="S16" s="3">
        <v>29085</v>
      </c>
      <c r="T16" s="3"/>
      <c r="U16" s="3">
        <v>0</v>
      </c>
      <c r="V16" s="3"/>
      <c r="W16" s="3">
        <v>0</v>
      </c>
      <c r="X16" s="3"/>
      <c r="Y16" s="3">
        <v>74233</v>
      </c>
      <c r="Z16" s="36"/>
      <c r="AA16" s="3">
        <v>0</v>
      </c>
      <c r="AB16" s="3"/>
      <c r="AC16" s="3">
        <f t="shared" si="0"/>
        <v>10922549</v>
      </c>
      <c r="AD16" s="3"/>
      <c r="AE16" s="3">
        <v>0</v>
      </c>
      <c r="AF16" s="3"/>
      <c r="AG16" s="3">
        <f t="shared" si="1"/>
        <v>15679050</v>
      </c>
      <c r="AH16" s="3"/>
      <c r="AI16" s="3"/>
    </row>
    <row r="17" spans="1:35">
      <c r="A17" s="3" t="s">
        <v>325</v>
      </c>
      <c r="B17" s="16"/>
      <c r="C17" s="16" t="s">
        <v>149</v>
      </c>
      <c r="E17" s="16">
        <v>51169</v>
      </c>
      <c r="G17" s="3">
        <v>1094989</v>
      </c>
      <c r="H17" s="3"/>
      <c r="I17" s="3">
        <v>1172241</v>
      </c>
      <c r="J17" s="3"/>
      <c r="K17" s="3">
        <v>0</v>
      </c>
      <c r="L17" s="3"/>
      <c r="M17" s="3">
        <f t="shared" ref="M17:M87" si="2">SUM(G17:L17)</f>
        <v>2267230</v>
      </c>
      <c r="N17" s="3"/>
      <c r="O17" s="3">
        <v>5703612</v>
      </c>
      <c r="P17" s="1"/>
      <c r="Q17" s="3">
        <v>3393886</v>
      </c>
      <c r="R17" s="3"/>
      <c r="S17" s="3">
        <v>38893</v>
      </c>
      <c r="T17" s="3"/>
      <c r="U17" s="3">
        <v>0</v>
      </c>
      <c r="V17" s="3"/>
      <c r="W17" s="3">
        <v>0</v>
      </c>
      <c r="X17" s="3"/>
      <c r="Y17" s="3">
        <v>22138</v>
      </c>
      <c r="Z17" s="36"/>
      <c r="AA17" s="3">
        <v>0</v>
      </c>
      <c r="AB17" s="3"/>
      <c r="AC17" s="3">
        <f t="shared" si="0"/>
        <v>9158529</v>
      </c>
      <c r="AD17" s="3"/>
      <c r="AE17" s="3">
        <v>0</v>
      </c>
      <c r="AF17" s="3"/>
      <c r="AG17" s="3">
        <f t="shared" si="1"/>
        <v>11425759</v>
      </c>
      <c r="AH17" s="3"/>
      <c r="AI17" s="3"/>
    </row>
    <row r="18" spans="1:35">
      <c r="A18" s="3" t="s">
        <v>326</v>
      </c>
      <c r="B18" s="16"/>
      <c r="C18" s="16" t="s">
        <v>152</v>
      </c>
      <c r="E18" s="16">
        <v>50856</v>
      </c>
      <c r="G18" s="3">
        <v>190321</v>
      </c>
      <c r="H18" s="3"/>
      <c r="I18" s="3">
        <v>977581</v>
      </c>
      <c r="J18" s="3"/>
      <c r="K18" s="3">
        <v>0</v>
      </c>
      <c r="L18" s="3"/>
      <c r="M18" s="3">
        <f t="shared" si="2"/>
        <v>1167902</v>
      </c>
      <c r="N18" s="3"/>
      <c r="O18" s="3">
        <v>1550930</v>
      </c>
      <c r="P18" s="1"/>
      <c r="Q18" s="3">
        <v>4093883</v>
      </c>
      <c r="R18" s="3"/>
      <c r="S18" s="3">
        <v>6779</v>
      </c>
      <c r="T18" s="3"/>
      <c r="U18" s="3">
        <v>0</v>
      </c>
      <c r="V18" s="3"/>
      <c r="W18" s="3">
        <v>0</v>
      </c>
      <c r="X18" s="3"/>
      <c r="Y18" s="3">
        <v>27215</v>
      </c>
      <c r="Z18" s="36"/>
      <c r="AA18" s="3">
        <v>0</v>
      </c>
      <c r="AB18" s="3"/>
      <c r="AC18" s="3">
        <f t="shared" si="0"/>
        <v>5678807</v>
      </c>
      <c r="AD18" s="3"/>
      <c r="AE18" s="3">
        <v>0</v>
      </c>
      <c r="AF18" s="3"/>
      <c r="AG18" s="3">
        <f t="shared" si="1"/>
        <v>6846709</v>
      </c>
      <c r="AH18" s="3"/>
      <c r="AI18" s="3"/>
    </row>
    <row r="19" spans="1:35">
      <c r="A19" s="3" t="s">
        <v>227</v>
      </c>
      <c r="B19" s="16"/>
      <c r="C19" s="16" t="s">
        <v>202</v>
      </c>
      <c r="E19" s="16">
        <v>51656</v>
      </c>
      <c r="G19" s="3">
        <v>1760988</v>
      </c>
      <c r="H19" s="3"/>
      <c r="I19" s="3">
        <v>1773866</v>
      </c>
      <c r="J19" s="3"/>
      <c r="K19" s="3">
        <v>0</v>
      </c>
      <c r="L19" s="3"/>
      <c r="M19" s="3">
        <f t="shared" si="2"/>
        <v>3534854</v>
      </c>
      <c r="N19" s="3"/>
      <c r="O19" s="3">
        <f>4265507+411447</f>
        <v>4676954</v>
      </c>
      <c r="P19" s="1"/>
      <c r="Q19" s="3">
        <v>7226837</v>
      </c>
      <c r="R19" s="3"/>
      <c r="S19" s="3">
        <v>70285</v>
      </c>
      <c r="T19" s="3"/>
      <c r="U19" s="3">
        <v>0</v>
      </c>
      <c r="V19" s="3"/>
      <c r="W19" s="3">
        <v>0</v>
      </c>
      <c r="X19" s="3"/>
      <c r="Y19" s="3">
        <v>10907</v>
      </c>
      <c r="Z19" s="36"/>
      <c r="AA19" s="3">
        <v>0</v>
      </c>
      <c r="AB19" s="3"/>
      <c r="AC19" s="3">
        <f t="shared" si="0"/>
        <v>11984983</v>
      </c>
      <c r="AD19" s="3"/>
      <c r="AE19" s="3">
        <v>0</v>
      </c>
      <c r="AF19" s="3"/>
      <c r="AG19" s="3">
        <f t="shared" si="1"/>
        <v>15519837</v>
      </c>
      <c r="AH19" s="3"/>
      <c r="AI19" s="3"/>
    </row>
    <row r="20" spans="1:35">
      <c r="A20" s="3" t="s">
        <v>287</v>
      </c>
      <c r="B20" s="16"/>
      <c r="C20" s="16" t="s">
        <v>150</v>
      </c>
      <c r="E20" s="16">
        <v>50880</v>
      </c>
      <c r="G20" s="3">
        <v>766682</v>
      </c>
      <c r="H20" s="3"/>
      <c r="I20" s="3">
        <v>1318740</v>
      </c>
      <c r="J20" s="3"/>
      <c r="K20" s="3">
        <v>0</v>
      </c>
      <c r="L20" s="3"/>
      <c r="M20" s="3">
        <f t="shared" si="2"/>
        <v>2085422</v>
      </c>
      <c r="N20" s="3"/>
      <c r="O20" s="3">
        <f>13482392+1061708</f>
        <v>14544100</v>
      </c>
      <c r="P20" s="1"/>
      <c r="Q20" s="3">
        <v>25795528</v>
      </c>
      <c r="R20" s="3"/>
      <c r="S20" s="3">
        <v>47513</v>
      </c>
      <c r="T20" s="3"/>
      <c r="U20" s="3">
        <v>0</v>
      </c>
      <c r="V20" s="3"/>
      <c r="W20" s="3">
        <v>0</v>
      </c>
      <c r="X20" s="3"/>
      <c r="Y20" s="3">
        <v>315371</v>
      </c>
      <c r="Z20" s="36"/>
      <c r="AA20" s="3">
        <v>-175000</v>
      </c>
      <c r="AB20" s="3"/>
      <c r="AC20" s="3">
        <f t="shared" si="0"/>
        <v>40527512</v>
      </c>
      <c r="AD20" s="3"/>
      <c r="AE20" s="3">
        <v>0</v>
      </c>
      <c r="AF20" s="3"/>
      <c r="AG20" s="3">
        <f t="shared" si="1"/>
        <v>42612934</v>
      </c>
      <c r="AH20" s="3"/>
      <c r="AI20" s="3"/>
    </row>
    <row r="21" spans="1:35">
      <c r="A21" s="3" t="s">
        <v>291</v>
      </c>
      <c r="B21" s="16"/>
      <c r="C21" s="16" t="s">
        <v>176</v>
      </c>
      <c r="E21" s="16">
        <v>51201</v>
      </c>
      <c r="G21" s="3">
        <v>2218007</v>
      </c>
      <c r="H21" s="3"/>
      <c r="I21" s="3">
        <v>3109588</v>
      </c>
      <c r="J21" s="3"/>
      <c r="K21" s="3">
        <v>48115</v>
      </c>
      <c r="L21" s="3"/>
      <c r="M21" s="3">
        <f>SUM(G21:L21)</f>
        <v>5375710</v>
      </c>
      <c r="N21" s="3"/>
      <c r="O21" s="3">
        <f>6597079+1696204</f>
        <v>8293283</v>
      </c>
      <c r="P21" s="1"/>
      <c r="Q21" s="3">
        <f>4267528+1500</f>
        <v>4269028</v>
      </c>
      <c r="R21" s="3"/>
      <c r="S21" s="3">
        <v>9377</v>
      </c>
      <c r="T21" s="3"/>
      <c r="U21" s="3">
        <v>0</v>
      </c>
      <c r="V21" s="3"/>
      <c r="W21" s="3">
        <v>0</v>
      </c>
      <c r="X21" s="3"/>
      <c r="Y21" s="3">
        <v>80368</v>
      </c>
      <c r="Z21" s="36"/>
      <c r="AA21" s="3">
        <v>0</v>
      </c>
      <c r="AB21" s="3"/>
      <c r="AC21" s="3">
        <f>SUM(O21:AA21)</f>
        <v>12652056</v>
      </c>
      <c r="AD21" s="3"/>
      <c r="AE21" s="3">
        <v>0</v>
      </c>
      <c r="AF21" s="3"/>
      <c r="AG21" s="3">
        <f>+AC21+M21</f>
        <v>18027766</v>
      </c>
      <c r="AH21" s="3"/>
      <c r="AI21" s="3"/>
    </row>
    <row r="22" spans="1:35" s="72" customFormat="1" hidden="1">
      <c r="A22" s="65" t="s">
        <v>289</v>
      </c>
      <c r="B22" s="66"/>
      <c r="C22" s="66" t="s">
        <v>220</v>
      </c>
      <c r="E22" s="66">
        <v>63511</v>
      </c>
      <c r="G22" s="65"/>
      <c r="H22" s="65"/>
      <c r="I22" s="65"/>
      <c r="J22" s="65"/>
      <c r="K22" s="65"/>
      <c r="L22" s="65"/>
      <c r="M22" s="65">
        <f t="shared" si="2"/>
        <v>0</v>
      </c>
      <c r="N22" s="65"/>
      <c r="O22" s="65"/>
      <c r="P22" s="75"/>
      <c r="Q22" s="65"/>
      <c r="R22" s="65"/>
      <c r="S22" s="65"/>
      <c r="T22" s="65"/>
      <c r="U22" s="65"/>
      <c r="V22" s="65"/>
      <c r="W22" s="65"/>
      <c r="X22" s="65"/>
      <c r="Y22" s="65"/>
      <c r="Z22" s="74"/>
      <c r="AA22" s="65"/>
      <c r="AB22" s="65"/>
      <c r="AC22" s="65">
        <f t="shared" si="0"/>
        <v>0</v>
      </c>
      <c r="AD22" s="65"/>
      <c r="AE22" s="65">
        <v>0</v>
      </c>
      <c r="AF22" s="65"/>
      <c r="AG22" s="65">
        <f t="shared" si="1"/>
        <v>0</v>
      </c>
      <c r="AH22" s="65"/>
      <c r="AI22" s="66" t="s">
        <v>304</v>
      </c>
    </row>
    <row r="23" spans="1:35">
      <c r="A23" s="3" t="s">
        <v>288</v>
      </c>
      <c r="B23" s="16"/>
      <c r="C23" s="16" t="s">
        <v>159</v>
      </c>
      <c r="E23" s="16">
        <v>50906</v>
      </c>
      <c r="G23" s="3">
        <v>1180620</v>
      </c>
      <c r="H23" s="3"/>
      <c r="I23" s="3">
        <v>959293</v>
      </c>
      <c r="J23" s="3"/>
      <c r="K23" s="3">
        <v>0</v>
      </c>
      <c r="L23" s="3"/>
      <c r="M23" s="3">
        <f t="shared" si="2"/>
        <v>2139913</v>
      </c>
      <c r="N23" s="3"/>
      <c r="O23" s="3">
        <v>1792841</v>
      </c>
      <c r="P23" s="1"/>
      <c r="Q23" s="3">
        <v>3975169</v>
      </c>
      <c r="R23" s="3"/>
      <c r="S23" s="3">
        <v>67471</v>
      </c>
      <c r="T23" s="3"/>
      <c r="U23" s="3">
        <v>0</v>
      </c>
      <c r="V23" s="3"/>
      <c r="W23" s="3">
        <v>0</v>
      </c>
      <c r="X23" s="3"/>
      <c r="Y23" s="3">
        <v>143846</v>
      </c>
      <c r="Z23" s="36"/>
      <c r="AA23" s="3">
        <v>0</v>
      </c>
      <c r="AB23" s="3"/>
      <c r="AC23" s="3">
        <f t="shared" ref="AC23:AC64" si="3">SUM(O23:AA23)</f>
        <v>5979327</v>
      </c>
      <c r="AD23" s="3"/>
      <c r="AE23" s="3">
        <v>0</v>
      </c>
      <c r="AF23" s="3"/>
      <c r="AG23" s="3">
        <f t="shared" si="1"/>
        <v>8119240</v>
      </c>
      <c r="AH23" s="3"/>
      <c r="AI23" s="3"/>
    </row>
    <row r="24" spans="1:35">
      <c r="A24" s="3" t="s">
        <v>253</v>
      </c>
      <c r="B24" s="16"/>
      <c r="C24" s="16" t="s">
        <v>213</v>
      </c>
      <c r="E24" s="16">
        <v>65227</v>
      </c>
      <c r="G24" s="3">
        <v>66571</v>
      </c>
      <c r="H24" s="3"/>
      <c r="I24" s="3">
        <v>383865</v>
      </c>
      <c r="J24" s="3"/>
      <c r="K24" s="3">
        <v>0</v>
      </c>
      <c r="L24" s="3"/>
      <c r="M24" s="3">
        <f t="shared" si="2"/>
        <v>450436</v>
      </c>
      <c r="N24" s="3"/>
      <c r="O24" s="3">
        <f>1222104+53976</f>
        <v>1276080</v>
      </c>
      <c r="P24" s="1"/>
      <c r="Q24" s="3">
        <v>2235962</v>
      </c>
      <c r="R24" s="3"/>
      <c r="S24" s="3">
        <v>3446</v>
      </c>
      <c r="T24" s="3"/>
      <c r="U24" s="3">
        <v>0</v>
      </c>
      <c r="V24" s="3"/>
      <c r="W24" s="3">
        <v>0</v>
      </c>
      <c r="X24" s="3"/>
      <c r="Y24" s="3">
        <v>9375</v>
      </c>
      <c r="Z24" s="36"/>
      <c r="AA24" s="3">
        <v>0</v>
      </c>
      <c r="AB24" s="3"/>
      <c r="AC24" s="3">
        <f t="shared" si="3"/>
        <v>3524863</v>
      </c>
      <c r="AD24" s="3"/>
      <c r="AE24" s="3">
        <v>0</v>
      </c>
      <c r="AF24" s="3"/>
      <c r="AG24" s="3">
        <f t="shared" si="1"/>
        <v>3975299</v>
      </c>
      <c r="AH24" s="3"/>
      <c r="AI24" s="3"/>
    </row>
    <row r="25" spans="1:35">
      <c r="A25" s="3" t="s">
        <v>251</v>
      </c>
      <c r="B25" s="16"/>
      <c r="C25" s="16" t="s">
        <v>160</v>
      </c>
      <c r="E25" s="16">
        <v>50922</v>
      </c>
      <c r="G25" s="3">
        <v>1768044</v>
      </c>
      <c r="H25" s="3"/>
      <c r="I25" s="3">
        <v>679842</v>
      </c>
      <c r="J25" s="3"/>
      <c r="K25" s="3">
        <v>0</v>
      </c>
      <c r="L25" s="3"/>
      <c r="M25" s="3">
        <f t="shared" si="2"/>
        <v>2447886</v>
      </c>
      <c r="N25" s="3"/>
      <c r="O25" s="3">
        <v>10974910</v>
      </c>
      <c r="P25" s="1"/>
      <c r="Q25" s="3">
        <v>4264381</v>
      </c>
      <c r="R25" s="3"/>
      <c r="S25" s="3">
        <v>45867</v>
      </c>
      <c r="T25" s="3"/>
      <c r="U25" s="3">
        <v>0</v>
      </c>
      <c r="V25" s="3"/>
      <c r="W25" s="3">
        <v>0</v>
      </c>
      <c r="X25" s="3"/>
      <c r="Y25" s="3">
        <v>298736</v>
      </c>
      <c r="Z25" s="36"/>
      <c r="AA25" s="3">
        <v>0</v>
      </c>
      <c r="AB25" s="3"/>
      <c r="AC25" s="3">
        <f t="shared" si="3"/>
        <v>15583894</v>
      </c>
      <c r="AD25" s="3"/>
      <c r="AE25" s="3">
        <v>0</v>
      </c>
      <c r="AF25" s="3"/>
      <c r="AG25" s="3">
        <f t="shared" si="1"/>
        <v>18031780</v>
      </c>
      <c r="AH25" s="3"/>
      <c r="AI25" s="3"/>
    </row>
    <row r="26" spans="1:35">
      <c r="A26" s="3" t="s">
        <v>250</v>
      </c>
      <c r="B26" s="16"/>
      <c r="C26" s="16" t="s">
        <v>162</v>
      </c>
      <c r="E26" s="16">
        <v>50989</v>
      </c>
      <c r="G26" s="3">
        <v>2363664</v>
      </c>
      <c r="H26" s="3"/>
      <c r="I26" s="3">
        <v>1520331</v>
      </c>
      <c r="J26" s="3"/>
      <c r="K26" s="3">
        <v>0</v>
      </c>
      <c r="L26" s="3"/>
      <c r="M26" s="3">
        <f t="shared" si="2"/>
        <v>3883995</v>
      </c>
      <c r="N26" s="3"/>
      <c r="O26" s="3">
        <f>9470211+1328822</f>
        <v>10799033</v>
      </c>
      <c r="P26" s="1"/>
      <c r="Q26" s="3">
        <v>4384297</v>
      </c>
      <c r="R26" s="3"/>
      <c r="S26" s="3">
        <v>224794</v>
      </c>
      <c r="T26" s="3"/>
      <c r="U26" s="3">
        <v>8009</v>
      </c>
      <c r="V26" s="3"/>
      <c r="W26" s="3">
        <v>0</v>
      </c>
      <c r="X26" s="3"/>
      <c r="Y26" s="3">
        <v>40955</v>
      </c>
      <c r="Z26" s="36"/>
      <c r="AA26" s="3">
        <v>0</v>
      </c>
      <c r="AB26" s="3"/>
      <c r="AC26" s="3">
        <f t="shared" si="3"/>
        <v>15457088</v>
      </c>
      <c r="AD26" s="3"/>
      <c r="AE26" s="3">
        <v>779641</v>
      </c>
      <c r="AF26" s="3"/>
      <c r="AG26" s="3">
        <f>+AC26+M26+AE26</f>
        <v>20120724</v>
      </c>
      <c r="AH26" s="3"/>
      <c r="AI26" s="3"/>
    </row>
    <row r="27" spans="1:35">
      <c r="A27" s="3" t="s">
        <v>307</v>
      </c>
      <c r="B27" s="16"/>
      <c r="C27" s="16" t="s">
        <v>165</v>
      </c>
      <c r="E27" s="16">
        <v>51003</v>
      </c>
      <c r="G27" s="3">
        <v>3071326</v>
      </c>
      <c r="H27" s="3"/>
      <c r="I27" s="3">
        <v>1870404</v>
      </c>
      <c r="J27" s="3"/>
      <c r="K27" s="3">
        <v>0</v>
      </c>
      <c r="L27" s="3"/>
      <c r="M27" s="3">
        <f t="shared" si="2"/>
        <v>4941730</v>
      </c>
      <c r="N27" s="3"/>
      <c r="O27" s="3">
        <v>13514071</v>
      </c>
      <c r="P27" s="1"/>
      <c r="Q27" s="3">
        <v>6666746</v>
      </c>
      <c r="R27" s="3"/>
      <c r="S27" s="3">
        <v>77277</v>
      </c>
      <c r="T27" s="3"/>
      <c r="U27" s="3">
        <v>0</v>
      </c>
      <c r="V27" s="3"/>
      <c r="W27" s="3">
        <v>15073</v>
      </c>
      <c r="X27" s="3"/>
      <c r="Y27" s="3">
        <v>82262</v>
      </c>
      <c r="Z27" s="36"/>
      <c r="AA27" s="3">
        <v>0</v>
      </c>
      <c r="AB27" s="3"/>
      <c r="AC27" s="3">
        <f t="shared" si="3"/>
        <v>20355429</v>
      </c>
      <c r="AD27" s="3"/>
      <c r="AE27" s="3">
        <v>0</v>
      </c>
      <c r="AF27" s="3"/>
      <c r="AG27" s="3">
        <f t="shared" si="1"/>
        <v>25297159</v>
      </c>
      <c r="AH27" s="3"/>
      <c r="AI27" s="3"/>
    </row>
    <row r="28" spans="1:35">
      <c r="A28" s="3" t="s">
        <v>252</v>
      </c>
      <c r="B28" s="16"/>
      <c r="C28" s="16" t="s">
        <v>163</v>
      </c>
      <c r="E28" s="16">
        <v>51029</v>
      </c>
      <c r="G28" s="3">
        <v>2699643</v>
      </c>
      <c r="H28" s="3"/>
      <c r="I28" s="3">
        <v>2601634</v>
      </c>
      <c r="J28" s="3"/>
      <c r="K28" s="3">
        <v>0</v>
      </c>
      <c r="L28" s="3"/>
      <c r="M28" s="3">
        <f t="shared" si="2"/>
        <v>5301277</v>
      </c>
      <c r="N28" s="3"/>
      <c r="O28" s="3">
        <v>5792700</v>
      </c>
      <c r="P28" s="1"/>
      <c r="Q28" s="3">
        <v>6462835</v>
      </c>
      <c r="R28" s="3"/>
      <c r="S28" s="3">
        <v>22175</v>
      </c>
      <c r="T28" s="3"/>
      <c r="U28" s="3">
        <v>0</v>
      </c>
      <c r="V28" s="3"/>
      <c r="W28" s="3">
        <v>0</v>
      </c>
      <c r="X28" s="3"/>
      <c r="Y28" s="3">
        <v>151145</v>
      </c>
      <c r="Z28" s="36"/>
      <c r="AA28" s="3">
        <v>0</v>
      </c>
      <c r="AB28" s="3"/>
      <c r="AC28" s="3">
        <f t="shared" si="3"/>
        <v>12428855</v>
      </c>
      <c r="AD28" s="3"/>
      <c r="AE28" s="3">
        <v>0</v>
      </c>
      <c r="AF28" s="3"/>
      <c r="AG28" s="3">
        <f t="shared" si="1"/>
        <v>17730132</v>
      </c>
      <c r="AH28" s="3"/>
      <c r="AI28" s="3" t="s">
        <v>383</v>
      </c>
    </row>
    <row r="29" spans="1:35">
      <c r="A29" s="3" t="s">
        <v>254</v>
      </c>
      <c r="B29" s="16"/>
      <c r="C29" s="16" t="s">
        <v>215</v>
      </c>
      <c r="E29" s="16">
        <v>50963</v>
      </c>
      <c r="G29" s="3">
        <v>1401869</v>
      </c>
      <c r="H29" s="3"/>
      <c r="I29" s="3">
        <v>2970534</v>
      </c>
      <c r="J29" s="3"/>
      <c r="K29" s="3">
        <v>0</v>
      </c>
      <c r="L29" s="3"/>
      <c r="M29" s="3">
        <f t="shared" si="2"/>
        <v>4372403</v>
      </c>
      <c r="N29" s="3"/>
      <c r="O29" s="3">
        <f>5037850+277940</f>
        <v>5315790</v>
      </c>
      <c r="P29" s="1"/>
      <c r="Q29" s="3">
        <v>7124893</v>
      </c>
      <c r="R29" s="3"/>
      <c r="S29" s="3">
        <v>77786</v>
      </c>
      <c r="T29" s="3"/>
      <c r="U29" s="3">
        <v>0</v>
      </c>
      <c r="V29" s="3"/>
      <c r="W29" s="3">
        <v>114687</v>
      </c>
      <c r="X29" s="3"/>
      <c r="Y29" s="3">
        <f>2496+7265</f>
        <v>9761</v>
      </c>
      <c r="Z29" s="36"/>
      <c r="AA29" s="3">
        <v>0</v>
      </c>
      <c r="AB29" s="3"/>
      <c r="AC29" s="3">
        <f t="shared" si="3"/>
        <v>12642917</v>
      </c>
      <c r="AD29" s="3"/>
      <c r="AE29" s="3">
        <v>0</v>
      </c>
      <c r="AF29" s="3"/>
      <c r="AG29" s="3">
        <f>+AC29+M29+AE29</f>
        <v>17015320</v>
      </c>
      <c r="AH29" s="3"/>
      <c r="AI29" s="3"/>
    </row>
    <row r="30" spans="1:35">
      <c r="A30" s="3" t="s">
        <v>214</v>
      </c>
      <c r="B30" s="16"/>
      <c r="C30" s="16" t="s">
        <v>168</v>
      </c>
      <c r="E30" s="16">
        <v>62067</v>
      </c>
      <c r="G30" s="3">
        <v>357953</v>
      </c>
      <c r="H30" s="3"/>
      <c r="I30" s="3">
        <v>4298195</v>
      </c>
      <c r="J30" s="3"/>
      <c r="K30" s="3">
        <v>33573</v>
      </c>
      <c r="L30" s="3"/>
      <c r="M30" s="3">
        <f t="shared" si="2"/>
        <v>4689721</v>
      </c>
      <c r="N30" s="3"/>
      <c r="O30" s="3">
        <v>2400782</v>
      </c>
      <c r="P30" s="1"/>
      <c r="Q30" s="3">
        <v>3224988</v>
      </c>
      <c r="R30" s="3"/>
      <c r="S30" s="3">
        <v>177576</v>
      </c>
      <c r="T30" s="3"/>
      <c r="U30" s="3">
        <v>0</v>
      </c>
      <c r="V30" s="3"/>
      <c r="W30" s="3">
        <v>1000</v>
      </c>
      <c r="X30" s="3"/>
      <c r="Y30" s="3">
        <f>17850</f>
        <v>17850</v>
      </c>
      <c r="Z30" s="36"/>
      <c r="AA30" s="3">
        <v>0</v>
      </c>
      <c r="AB30" s="3"/>
      <c r="AC30" s="3">
        <f t="shared" si="3"/>
        <v>5822196</v>
      </c>
      <c r="AD30" s="3"/>
      <c r="AE30" s="3">
        <v>9372</v>
      </c>
      <c r="AF30" s="3"/>
      <c r="AG30" s="3">
        <f>+AC30+M30+AE30</f>
        <v>10521289</v>
      </c>
      <c r="AH30" s="3"/>
      <c r="AI30" s="3"/>
    </row>
    <row r="31" spans="1:35" s="34" customFormat="1">
      <c r="A31" s="3" t="s">
        <v>327</v>
      </c>
      <c r="B31" s="29"/>
      <c r="C31" s="29" t="s">
        <v>171</v>
      </c>
      <c r="E31" s="29">
        <v>51060</v>
      </c>
      <c r="G31" s="1">
        <v>4880211</v>
      </c>
      <c r="H31" s="1"/>
      <c r="I31" s="1">
        <v>4534023</v>
      </c>
      <c r="J31" s="1"/>
      <c r="K31" s="1">
        <v>0</v>
      </c>
      <c r="L31" s="1"/>
      <c r="M31" s="1">
        <f t="shared" si="2"/>
        <v>9414234</v>
      </c>
      <c r="N31" s="1"/>
      <c r="O31" s="1">
        <v>36640353</v>
      </c>
      <c r="P31" s="1"/>
      <c r="Q31" s="1">
        <v>23090002</v>
      </c>
      <c r="R31" s="1"/>
      <c r="S31" s="1">
        <v>205459</v>
      </c>
      <c r="T31" s="1"/>
      <c r="U31" s="1">
        <v>0</v>
      </c>
      <c r="V31" s="1"/>
      <c r="W31" s="1">
        <v>0</v>
      </c>
      <c r="X31" s="1"/>
      <c r="Y31" s="1">
        <v>723664</v>
      </c>
      <c r="Z31" s="94"/>
      <c r="AA31" s="1">
        <v>0</v>
      </c>
      <c r="AB31" s="1"/>
      <c r="AC31" s="1">
        <f t="shared" si="3"/>
        <v>60659478</v>
      </c>
      <c r="AD31" s="1"/>
      <c r="AE31" s="1">
        <v>0</v>
      </c>
      <c r="AF31" s="1"/>
      <c r="AG31" s="1">
        <f t="shared" si="1"/>
        <v>70073712</v>
      </c>
      <c r="AH31" s="1"/>
      <c r="AI31" s="3" t="s">
        <v>383</v>
      </c>
    </row>
    <row r="32" spans="1:35">
      <c r="A32" s="3" t="s">
        <v>386</v>
      </c>
      <c r="B32" s="16"/>
      <c r="C32" s="16" t="s">
        <v>170</v>
      </c>
      <c r="E32" s="16">
        <v>51045</v>
      </c>
      <c r="G32" s="3">
        <v>1140640</v>
      </c>
      <c r="H32" s="3"/>
      <c r="I32" s="3">
        <v>2438433</v>
      </c>
      <c r="J32" s="3"/>
      <c r="K32" s="3">
        <v>406510</v>
      </c>
      <c r="L32" s="3"/>
      <c r="M32" s="3">
        <f t="shared" si="2"/>
        <v>3985583</v>
      </c>
      <c r="N32" s="3"/>
      <c r="O32" s="3">
        <v>9254915</v>
      </c>
      <c r="P32" s="1"/>
      <c r="Q32" s="3">
        <v>4050129</v>
      </c>
      <c r="R32" s="3"/>
      <c r="S32" s="3">
        <v>12910</v>
      </c>
      <c r="T32" s="3"/>
      <c r="U32" s="3">
        <v>0</v>
      </c>
      <c r="V32" s="3"/>
      <c r="W32" s="3">
        <v>0</v>
      </c>
      <c r="X32" s="3"/>
      <c r="Y32" s="3">
        <v>378997</v>
      </c>
      <c r="Z32" s="36"/>
      <c r="AA32" s="3">
        <v>0</v>
      </c>
      <c r="AB32" s="3"/>
      <c r="AC32" s="3">
        <f t="shared" si="3"/>
        <v>13696951</v>
      </c>
      <c r="AD32" s="3"/>
      <c r="AE32" s="3">
        <v>0</v>
      </c>
      <c r="AF32" s="3"/>
      <c r="AG32" s="3">
        <f t="shared" si="1"/>
        <v>17682534</v>
      </c>
      <c r="AH32" s="3"/>
      <c r="AI32" s="3"/>
    </row>
    <row r="33" spans="1:36">
      <c r="A33" s="3" t="s">
        <v>216</v>
      </c>
      <c r="B33" s="16"/>
      <c r="C33" s="16" t="s">
        <v>173</v>
      </c>
      <c r="E33" s="16">
        <v>51128</v>
      </c>
      <c r="G33" s="3">
        <v>353896</v>
      </c>
      <c r="H33" s="3"/>
      <c r="I33" s="3">
        <v>645878</v>
      </c>
      <c r="J33" s="3"/>
      <c r="K33" s="3">
        <v>0</v>
      </c>
      <c r="L33" s="3"/>
      <c r="M33" s="3">
        <f t="shared" si="2"/>
        <v>999774</v>
      </c>
      <c r="N33" s="3"/>
      <c r="O33" s="3">
        <f>1416881+111913</f>
        <v>1528794</v>
      </c>
      <c r="P33" s="1"/>
      <c r="Q33" s="3">
        <v>2785644</v>
      </c>
      <c r="R33" s="3"/>
      <c r="S33" s="3">
        <v>25359</v>
      </c>
      <c r="T33" s="3"/>
      <c r="U33" s="3">
        <v>0</v>
      </c>
      <c r="V33" s="3"/>
      <c r="W33" s="3">
        <v>3950</v>
      </c>
      <c r="X33" s="3"/>
      <c r="Y33" s="3">
        <v>19960</v>
      </c>
      <c r="Z33" s="36"/>
      <c r="AA33" s="3">
        <v>0</v>
      </c>
      <c r="AB33" s="3"/>
      <c r="AC33" s="3">
        <f t="shared" si="3"/>
        <v>4363707</v>
      </c>
      <c r="AD33" s="3"/>
      <c r="AE33" s="3">
        <v>0</v>
      </c>
      <c r="AF33" s="3"/>
      <c r="AG33" s="3">
        <f t="shared" si="1"/>
        <v>5363481</v>
      </c>
      <c r="AH33" s="3"/>
      <c r="AI33" s="3"/>
    </row>
    <row r="34" spans="1:36">
      <c r="A34" s="3" t="s">
        <v>255</v>
      </c>
      <c r="B34" s="16"/>
      <c r="C34" s="16" t="s">
        <v>174</v>
      </c>
      <c r="E34" s="16">
        <v>51144</v>
      </c>
      <c r="G34" s="3">
        <v>1844761</v>
      </c>
      <c r="H34" s="3"/>
      <c r="I34" s="3">
        <v>700972</v>
      </c>
      <c r="J34" s="3"/>
      <c r="K34" s="3">
        <v>0</v>
      </c>
      <c r="L34" s="3"/>
      <c r="M34" s="3">
        <f t="shared" si="2"/>
        <v>2545733</v>
      </c>
      <c r="N34" s="3"/>
      <c r="O34" s="3">
        <v>3159234</v>
      </c>
      <c r="P34" s="1"/>
      <c r="Q34" s="3">
        <v>6015311</v>
      </c>
      <c r="R34" s="3"/>
      <c r="S34" s="3">
        <v>120086</v>
      </c>
      <c r="T34" s="3"/>
      <c r="U34" s="3">
        <v>82907</v>
      </c>
      <c r="V34" s="3"/>
      <c r="W34" s="3">
        <v>0</v>
      </c>
      <c r="X34" s="3"/>
      <c r="Y34" s="3">
        <v>12395</v>
      </c>
      <c r="Z34" s="36"/>
      <c r="AA34" s="3">
        <v>0</v>
      </c>
      <c r="AB34" s="3"/>
      <c r="AC34" s="3">
        <f t="shared" si="3"/>
        <v>9389933</v>
      </c>
      <c r="AD34" s="3"/>
      <c r="AE34" s="3">
        <v>0</v>
      </c>
      <c r="AF34" s="3"/>
      <c r="AG34" s="3">
        <f t="shared" si="1"/>
        <v>11935666</v>
      </c>
      <c r="AH34" s="3"/>
      <c r="AI34" s="3"/>
    </row>
    <row r="35" spans="1:36">
      <c r="A35" s="3" t="s">
        <v>217</v>
      </c>
      <c r="B35" s="16"/>
      <c r="C35" s="16" t="s">
        <v>175</v>
      </c>
      <c r="E35" s="16">
        <v>51185</v>
      </c>
      <c r="G35" s="3">
        <v>2478969</v>
      </c>
      <c r="H35" s="3"/>
      <c r="I35" s="3">
        <v>5271909</v>
      </c>
      <c r="J35" s="3"/>
      <c r="K35" s="3">
        <v>0</v>
      </c>
      <c r="L35" s="3"/>
      <c r="M35" s="3">
        <f t="shared" si="2"/>
        <v>7750878</v>
      </c>
      <c r="N35" s="3"/>
      <c r="O35" s="3">
        <f>1544314+2263</f>
        <v>1546577</v>
      </c>
      <c r="P35" s="1"/>
      <c r="Q35" s="3">
        <v>17968837</v>
      </c>
      <c r="R35" s="3"/>
      <c r="S35" s="3">
        <v>277881</v>
      </c>
      <c r="T35" s="3"/>
      <c r="U35" s="3">
        <v>0</v>
      </c>
      <c r="V35" s="3"/>
      <c r="W35" s="3">
        <v>0</v>
      </c>
      <c r="X35" s="3"/>
      <c r="Y35" s="3">
        <v>299484</v>
      </c>
      <c r="Z35" s="36"/>
      <c r="AA35" s="3">
        <v>0</v>
      </c>
      <c r="AB35" s="3"/>
      <c r="AC35" s="3">
        <f t="shared" si="3"/>
        <v>20092779</v>
      </c>
      <c r="AD35" s="3"/>
      <c r="AE35" s="3">
        <v>0</v>
      </c>
      <c r="AF35" s="3"/>
      <c r="AG35" s="3">
        <f t="shared" si="1"/>
        <v>27843657</v>
      </c>
      <c r="AH35" s="3"/>
      <c r="AI35" s="3"/>
    </row>
    <row r="36" spans="1:36" s="72" customFormat="1" hidden="1">
      <c r="A36" s="65" t="s">
        <v>308</v>
      </c>
      <c r="B36" s="66"/>
      <c r="C36" s="66" t="s">
        <v>176</v>
      </c>
      <c r="E36" s="66">
        <v>47977</v>
      </c>
      <c r="G36" s="65"/>
      <c r="H36" s="65"/>
      <c r="I36" s="65"/>
      <c r="J36" s="65"/>
      <c r="K36" s="65"/>
      <c r="L36" s="65"/>
      <c r="M36" s="65">
        <f t="shared" si="2"/>
        <v>0</v>
      </c>
      <c r="N36" s="65"/>
      <c r="O36" s="65"/>
      <c r="P36" s="75"/>
      <c r="Q36" s="65"/>
      <c r="R36" s="65"/>
      <c r="S36" s="65"/>
      <c r="T36" s="65"/>
      <c r="U36" s="65"/>
      <c r="V36" s="65"/>
      <c r="W36" s="65"/>
      <c r="X36" s="65"/>
      <c r="Y36" s="65"/>
      <c r="Z36" s="74"/>
      <c r="AA36" s="65"/>
      <c r="AB36" s="65"/>
      <c r="AC36" s="65">
        <f t="shared" si="3"/>
        <v>0</v>
      </c>
      <c r="AD36" s="65"/>
      <c r="AE36" s="65">
        <v>0</v>
      </c>
      <c r="AF36" s="65"/>
      <c r="AG36" s="65">
        <f t="shared" si="1"/>
        <v>0</v>
      </c>
      <c r="AH36" s="65"/>
      <c r="AI36" s="65" t="s">
        <v>389</v>
      </c>
    </row>
    <row r="37" spans="1:36">
      <c r="A37" s="3" t="s">
        <v>219</v>
      </c>
      <c r="B37" s="16"/>
      <c r="C37" s="16" t="s">
        <v>145</v>
      </c>
      <c r="E37" s="16">
        <v>51227</v>
      </c>
      <c r="G37" s="3">
        <v>1555204</v>
      </c>
      <c r="H37" s="3"/>
      <c r="I37" s="3">
        <v>1895981</v>
      </c>
      <c r="J37" s="3"/>
      <c r="K37" s="3">
        <v>0</v>
      </c>
      <c r="L37" s="3"/>
      <c r="M37" s="3">
        <f t="shared" si="2"/>
        <v>3451185</v>
      </c>
      <c r="N37" s="3"/>
      <c r="O37" s="3">
        <v>11783660</v>
      </c>
      <c r="P37" s="1"/>
      <c r="Q37" s="3">
        <v>9497366</v>
      </c>
      <c r="R37" s="3"/>
      <c r="S37" s="3">
        <v>59428</v>
      </c>
      <c r="T37" s="3"/>
      <c r="U37" s="3">
        <v>0</v>
      </c>
      <c r="V37" s="3"/>
      <c r="W37" s="3">
        <v>0</v>
      </c>
      <c r="X37" s="3"/>
      <c r="Y37" s="3">
        <v>665258</v>
      </c>
      <c r="Z37" s="36"/>
      <c r="AA37" s="3">
        <v>0</v>
      </c>
      <c r="AB37" s="3"/>
      <c r="AC37" s="3">
        <f t="shared" si="3"/>
        <v>22005712</v>
      </c>
      <c r="AD37" s="3"/>
      <c r="AE37" s="3">
        <v>0</v>
      </c>
      <c r="AF37" s="3"/>
      <c r="AG37" s="3">
        <f t="shared" si="1"/>
        <v>25456897</v>
      </c>
      <c r="AH37" s="3"/>
      <c r="AI37" s="3" t="s">
        <v>383</v>
      </c>
    </row>
    <row r="38" spans="1:36">
      <c r="A38" s="3" t="s">
        <v>309</v>
      </c>
      <c r="B38" s="16"/>
      <c r="C38" s="16" t="s">
        <v>179</v>
      </c>
      <c r="E38" s="16">
        <v>51243</v>
      </c>
      <c r="G38" s="3">
        <v>1080498</v>
      </c>
      <c r="H38" s="3"/>
      <c r="I38" s="3">
        <v>818563</v>
      </c>
      <c r="J38" s="3"/>
      <c r="K38" s="3">
        <v>0</v>
      </c>
      <c r="L38" s="3"/>
      <c r="M38" s="3">
        <f t="shared" si="2"/>
        <v>1899061</v>
      </c>
      <c r="N38" s="3"/>
      <c r="O38" s="3">
        <v>6267310</v>
      </c>
      <c r="P38" s="1"/>
      <c r="Q38" s="3">
        <v>4379296</v>
      </c>
      <c r="R38" s="3"/>
      <c r="S38" s="3">
        <v>345420</v>
      </c>
      <c r="T38" s="3"/>
      <c r="U38" s="3">
        <v>0</v>
      </c>
      <c r="V38" s="3"/>
      <c r="W38" s="3">
        <v>0</v>
      </c>
      <c r="X38" s="3"/>
      <c r="Y38" s="3">
        <v>72507</v>
      </c>
      <c r="Z38" s="36"/>
      <c r="AA38" s="3">
        <v>0</v>
      </c>
      <c r="AB38" s="3"/>
      <c r="AC38" s="3">
        <f t="shared" si="3"/>
        <v>11064533</v>
      </c>
      <c r="AD38" s="3"/>
      <c r="AE38" s="3">
        <v>0</v>
      </c>
      <c r="AF38" s="3"/>
      <c r="AG38" s="3">
        <f t="shared" si="1"/>
        <v>12963594</v>
      </c>
      <c r="AH38" s="3"/>
      <c r="AI38" s="3"/>
    </row>
    <row r="39" spans="1:36">
      <c r="A39" s="3" t="s">
        <v>256</v>
      </c>
      <c r="B39" s="16"/>
      <c r="C39" s="16" t="s">
        <v>190</v>
      </c>
      <c r="E39" s="16">
        <v>51391</v>
      </c>
      <c r="G39" s="3">
        <v>554414</v>
      </c>
      <c r="H39" s="3"/>
      <c r="I39" s="3">
        <v>745891</v>
      </c>
      <c r="J39" s="3"/>
      <c r="K39" s="3">
        <v>0</v>
      </c>
      <c r="L39" s="3"/>
      <c r="M39" s="3">
        <f t="shared" si="2"/>
        <v>1300305</v>
      </c>
      <c r="N39" s="3"/>
      <c r="O39" s="3">
        <v>5329277</v>
      </c>
      <c r="P39" s="1"/>
      <c r="Q39" s="3">
        <v>6028070</v>
      </c>
      <c r="R39" s="3"/>
      <c r="S39" s="3">
        <v>262572</v>
      </c>
      <c r="T39" s="3"/>
      <c r="U39" s="3">
        <v>0</v>
      </c>
      <c r="V39" s="3"/>
      <c r="W39" s="3">
        <v>0</v>
      </c>
      <c r="X39" s="3"/>
      <c r="Y39" s="3">
        <v>188107</v>
      </c>
      <c r="Z39" s="36"/>
      <c r="AA39" s="3">
        <v>0</v>
      </c>
      <c r="AB39" s="3"/>
      <c r="AC39" s="3">
        <f t="shared" si="3"/>
        <v>11808026</v>
      </c>
      <c r="AD39" s="3"/>
      <c r="AE39" s="3">
        <v>0</v>
      </c>
      <c r="AF39" s="3"/>
      <c r="AG39" s="3">
        <f t="shared" si="1"/>
        <v>13108331</v>
      </c>
      <c r="AH39" s="3"/>
      <c r="AI39" s="3"/>
    </row>
    <row r="40" spans="1:36">
      <c r="A40" s="3" t="s">
        <v>223</v>
      </c>
      <c r="B40" s="16"/>
      <c r="C40" s="16" t="s">
        <v>181</v>
      </c>
      <c r="E40" s="16">
        <v>62109</v>
      </c>
      <c r="G40" s="3">
        <v>175916</v>
      </c>
      <c r="H40" s="3"/>
      <c r="I40" s="3">
        <v>536903</v>
      </c>
      <c r="J40" s="3"/>
      <c r="K40" s="3">
        <v>0</v>
      </c>
      <c r="L40" s="3"/>
      <c r="M40" s="3">
        <f t="shared" si="2"/>
        <v>712819</v>
      </c>
      <c r="N40" s="3"/>
      <c r="O40" s="3">
        <v>7218989</v>
      </c>
      <c r="P40" s="1"/>
      <c r="Q40" s="3">
        <f>8214101+290662</f>
        <v>8504763</v>
      </c>
      <c r="R40" s="3"/>
      <c r="S40" s="3">
        <v>10542</v>
      </c>
      <c r="T40" s="3"/>
      <c r="U40" s="3">
        <v>17108</v>
      </c>
      <c r="V40" s="3"/>
      <c r="W40" s="3">
        <v>0</v>
      </c>
      <c r="X40" s="3"/>
      <c r="Y40" s="3">
        <v>47719</v>
      </c>
      <c r="Z40" s="36"/>
      <c r="AA40" s="3">
        <v>0</v>
      </c>
      <c r="AB40" s="3"/>
      <c r="AC40" s="3">
        <f t="shared" si="3"/>
        <v>15799121</v>
      </c>
      <c r="AD40" s="3"/>
      <c r="AE40" s="3">
        <v>0</v>
      </c>
      <c r="AF40" s="3"/>
      <c r="AG40" s="3">
        <f t="shared" si="1"/>
        <v>16511940</v>
      </c>
      <c r="AH40" s="3"/>
      <c r="AI40" s="3"/>
    </row>
    <row r="41" spans="1:36">
      <c r="A41" s="3" t="s">
        <v>310</v>
      </c>
      <c r="B41" s="16"/>
      <c r="C41" s="16" t="s">
        <v>184</v>
      </c>
      <c r="E41" s="16">
        <v>51284</v>
      </c>
      <c r="G41" s="3">
        <v>3706250</v>
      </c>
      <c r="H41" s="3"/>
      <c r="I41" s="3">
        <v>2027014</v>
      </c>
      <c r="J41" s="3"/>
      <c r="K41" s="3">
        <v>0</v>
      </c>
      <c r="L41" s="3"/>
      <c r="M41" s="3">
        <f t="shared" si="2"/>
        <v>5733264</v>
      </c>
      <c r="N41" s="3"/>
      <c r="O41" s="3">
        <v>12815966</v>
      </c>
      <c r="P41" s="1"/>
      <c r="Q41" s="3">
        <v>16756630</v>
      </c>
      <c r="R41" s="3"/>
      <c r="S41" s="3">
        <v>9657</v>
      </c>
      <c r="T41" s="3"/>
      <c r="U41" s="3">
        <v>0</v>
      </c>
      <c r="V41" s="3"/>
      <c r="W41" s="3">
        <v>80943</v>
      </c>
      <c r="X41" s="3"/>
      <c r="Y41" s="3">
        <v>202223</v>
      </c>
      <c r="Z41" s="36"/>
      <c r="AA41" s="3">
        <v>0</v>
      </c>
      <c r="AB41" s="3"/>
      <c r="AC41" s="3">
        <f t="shared" si="3"/>
        <v>29865419</v>
      </c>
      <c r="AD41" s="3"/>
      <c r="AE41" s="3">
        <v>0</v>
      </c>
      <c r="AF41" s="3"/>
      <c r="AG41" s="3">
        <f t="shared" si="1"/>
        <v>35598683</v>
      </c>
      <c r="AH41" s="3"/>
      <c r="AI41" s="3" t="s">
        <v>396</v>
      </c>
    </row>
    <row r="42" spans="1:36">
      <c r="A42" s="3" t="s">
        <v>397</v>
      </c>
      <c r="B42" s="16"/>
      <c r="C42" s="16" t="s">
        <v>186</v>
      </c>
      <c r="E42" s="16">
        <v>51300</v>
      </c>
      <c r="G42" s="3">
        <v>3197367</v>
      </c>
      <c r="H42" s="3"/>
      <c r="I42" s="3">
        <v>3572150</v>
      </c>
      <c r="J42" s="3"/>
      <c r="K42" s="3">
        <v>474839</v>
      </c>
      <c r="L42" s="3"/>
      <c r="M42" s="3">
        <f t="shared" si="2"/>
        <v>7244356</v>
      </c>
      <c r="N42" s="3"/>
      <c r="O42" s="3">
        <f>6005547+333443+1168902+2452520</f>
        <v>9960412</v>
      </c>
      <c r="P42" s="1"/>
      <c r="Q42" s="3">
        <v>10702315</v>
      </c>
      <c r="R42" s="3"/>
      <c r="S42" s="3">
        <v>231262</v>
      </c>
      <c r="T42" s="3"/>
      <c r="U42" s="3">
        <v>51364</v>
      </c>
      <c r="V42" s="3"/>
      <c r="W42" s="3">
        <v>95900</v>
      </c>
      <c r="X42" s="3"/>
      <c r="Y42" s="3">
        <v>73129</v>
      </c>
      <c r="Z42" s="36"/>
      <c r="AA42" s="3">
        <v>0</v>
      </c>
      <c r="AB42" s="3"/>
      <c r="AC42" s="3">
        <f t="shared" si="3"/>
        <v>21114382</v>
      </c>
      <c r="AD42" s="3"/>
      <c r="AE42" s="3">
        <v>0</v>
      </c>
      <c r="AF42" s="3"/>
      <c r="AG42" s="3">
        <f t="shared" si="1"/>
        <v>28358738</v>
      </c>
      <c r="AH42" s="3"/>
      <c r="AI42" s="3"/>
    </row>
    <row r="43" spans="1:36">
      <c r="A43" s="3" t="s">
        <v>218</v>
      </c>
      <c r="B43" s="16"/>
      <c r="C43" s="16" t="s">
        <v>177</v>
      </c>
      <c r="E43" s="16">
        <v>51334</v>
      </c>
      <c r="G43" s="3">
        <v>1920422</v>
      </c>
      <c r="H43" s="3"/>
      <c r="I43" s="3">
        <v>1316252</v>
      </c>
      <c r="J43" s="3"/>
      <c r="K43" s="3">
        <v>0</v>
      </c>
      <c r="L43" s="3"/>
      <c r="M43" s="3">
        <f t="shared" si="2"/>
        <v>3236674</v>
      </c>
      <c r="N43" s="3"/>
      <c r="O43" s="3">
        <v>4989123</v>
      </c>
      <c r="P43" s="1"/>
      <c r="Q43" s="3">
        <v>6746018</v>
      </c>
      <c r="R43" s="3"/>
      <c r="S43" s="3">
        <v>43475</v>
      </c>
      <c r="T43" s="3"/>
      <c r="U43" s="3">
        <v>0</v>
      </c>
      <c r="V43" s="3"/>
      <c r="W43" s="3">
        <v>152309</v>
      </c>
      <c r="X43" s="3"/>
      <c r="Y43" s="3">
        <v>92380</v>
      </c>
      <c r="Z43" s="36"/>
      <c r="AA43" s="3">
        <v>0</v>
      </c>
      <c r="AB43" s="3"/>
      <c r="AC43" s="3">
        <f t="shared" si="3"/>
        <v>12023305</v>
      </c>
      <c r="AD43" s="3"/>
      <c r="AE43" s="3">
        <v>0</v>
      </c>
      <c r="AF43" s="3"/>
      <c r="AG43" s="3">
        <f t="shared" si="1"/>
        <v>15259979</v>
      </c>
      <c r="AH43" s="3"/>
      <c r="AI43" s="32" t="s">
        <v>401</v>
      </c>
    </row>
    <row r="44" spans="1:36">
      <c r="A44" s="3" t="s">
        <v>402</v>
      </c>
      <c r="B44" s="16"/>
      <c r="C44" s="16" t="s">
        <v>209</v>
      </c>
      <c r="E44" s="16">
        <v>51359</v>
      </c>
      <c r="G44" s="3">
        <v>1092361</v>
      </c>
      <c r="H44" s="3"/>
      <c r="I44" s="3">
        <v>7497937</v>
      </c>
      <c r="J44" s="3"/>
      <c r="K44" s="3">
        <v>0</v>
      </c>
      <c r="L44" s="3"/>
      <c r="M44" s="3">
        <f t="shared" si="2"/>
        <v>8590298</v>
      </c>
      <c r="N44" s="3"/>
      <c r="O44" s="3">
        <f>11228066+4800910</f>
        <v>16028976</v>
      </c>
      <c r="P44" s="1"/>
      <c r="Q44" s="3">
        <v>11985200</v>
      </c>
      <c r="R44" s="3"/>
      <c r="S44" s="3">
        <v>294688</v>
      </c>
      <c r="T44" s="3"/>
      <c r="U44" s="3">
        <v>251530</v>
      </c>
      <c r="V44" s="3"/>
      <c r="W44" s="3">
        <v>0</v>
      </c>
      <c r="X44" s="3"/>
      <c r="Y44" s="3">
        <f>254167+8566</f>
        <v>262733</v>
      </c>
      <c r="Z44" s="36"/>
      <c r="AA44" s="3">
        <v>0</v>
      </c>
      <c r="AB44" s="3"/>
      <c r="AC44" s="3">
        <f t="shared" si="3"/>
        <v>28823127</v>
      </c>
      <c r="AD44" s="3"/>
      <c r="AE44" s="3">
        <v>0</v>
      </c>
      <c r="AF44" s="3"/>
      <c r="AG44" s="3">
        <f t="shared" si="1"/>
        <v>37413425</v>
      </c>
      <c r="AH44" s="3"/>
      <c r="AI44" s="32" t="s">
        <v>403</v>
      </c>
    </row>
    <row r="45" spans="1:36">
      <c r="A45" s="3" t="s">
        <v>407</v>
      </c>
      <c r="B45" s="16"/>
      <c r="C45" s="16" t="s">
        <v>194</v>
      </c>
      <c r="E45" s="16">
        <v>51433</v>
      </c>
      <c r="G45" s="3">
        <v>2210157</v>
      </c>
      <c r="H45" s="3"/>
      <c r="I45" s="3">
        <v>3036360</v>
      </c>
      <c r="J45" s="3"/>
      <c r="K45" s="3">
        <v>0</v>
      </c>
      <c r="L45" s="3"/>
      <c r="M45" s="3">
        <f t="shared" si="2"/>
        <v>5246517</v>
      </c>
      <c r="N45" s="3"/>
      <c r="O45" s="3">
        <v>5077375</v>
      </c>
      <c r="P45" s="1"/>
      <c r="Q45" s="3">
        <v>10202651</v>
      </c>
      <c r="R45" s="3"/>
      <c r="S45" s="3">
        <v>49249</v>
      </c>
      <c r="T45" s="3"/>
      <c r="U45" s="3">
        <v>594</v>
      </c>
      <c r="V45" s="3"/>
      <c r="W45" s="3">
        <v>0</v>
      </c>
      <c r="X45" s="3"/>
      <c r="Y45" s="3">
        <v>105111</v>
      </c>
      <c r="Z45" s="36"/>
      <c r="AA45" s="3">
        <v>0</v>
      </c>
      <c r="AB45" s="3"/>
      <c r="AC45" s="3">
        <f t="shared" si="3"/>
        <v>15434980</v>
      </c>
      <c r="AD45" s="3"/>
      <c r="AE45" s="3">
        <v>0</v>
      </c>
      <c r="AF45" s="3"/>
      <c r="AG45" s="3">
        <f t="shared" si="1"/>
        <v>20681497</v>
      </c>
      <c r="AH45" s="3"/>
      <c r="AI45" s="3"/>
    </row>
    <row r="46" spans="1:36">
      <c r="A46" s="3" t="s">
        <v>257</v>
      </c>
      <c r="B46" s="16"/>
      <c r="C46" s="16" t="s">
        <v>225</v>
      </c>
      <c r="E46" s="16">
        <v>51375</v>
      </c>
      <c r="G46" s="3">
        <v>877309</v>
      </c>
      <c r="H46" s="3"/>
      <c r="I46" s="3">
        <v>1084235</v>
      </c>
      <c r="J46" s="3"/>
      <c r="K46" s="3">
        <v>0</v>
      </c>
      <c r="L46" s="3"/>
      <c r="M46" s="3">
        <f t="shared" si="2"/>
        <v>1961544</v>
      </c>
      <c r="N46" s="3"/>
      <c r="O46" s="3">
        <f>882066+114420+163089</f>
        <v>1159575</v>
      </c>
      <c r="P46" s="1"/>
      <c r="Q46" s="3">
        <v>4654926</v>
      </c>
      <c r="R46" s="3"/>
      <c r="S46" s="3">
        <v>11631</v>
      </c>
      <c r="T46" s="3"/>
      <c r="U46" s="3">
        <v>438</v>
      </c>
      <c r="V46" s="3"/>
      <c r="W46" s="3">
        <v>4706</v>
      </c>
      <c r="X46" s="3"/>
      <c r="Y46" s="3">
        <v>263435</v>
      </c>
      <c r="Z46" s="36"/>
      <c r="AA46" s="3">
        <v>0</v>
      </c>
      <c r="AB46" s="3"/>
      <c r="AC46" s="3">
        <f t="shared" si="3"/>
        <v>6094711</v>
      </c>
      <c r="AD46" s="3"/>
      <c r="AE46" s="3">
        <v>0</v>
      </c>
      <c r="AF46" s="3"/>
      <c r="AG46" s="3">
        <f t="shared" ref="AG46:AG64" si="4">+AC46+M46</f>
        <v>8056255</v>
      </c>
      <c r="AH46" s="3"/>
      <c r="AI46" s="3"/>
    </row>
    <row r="47" spans="1:36">
      <c r="A47" s="3" t="s">
        <v>311</v>
      </c>
      <c r="B47" s="16"/>
      <c r="C47" s="16" t="s">
        <v>193</v>
      </c>
      <c r="E47" s="16">
        <v>51417</v>
      </c>
      <c r="G47" s="3">
        <v>956065</v>
      </c>
      <c r="H47" s="3"/>
      <c r="I47" s="3">
        <v>1945634</v>
      </c>
      <c r="J47" s="3"/>
      <c r="K47" s="3">
        <v>0</v>
      </c>
      <c r="L47" s="3"/>
      <c r="M47" s="3">
        <f t="shared" si="2"/>
        <v>2901699</v>
      </c>
      <c r="N47" s="3"/>
      <c r="O47" s="3">
        <f>3602110+425360</f>
        <v>4027470</v>
      </c>
      <c r="P47" s="1"/>
      <c r="Q47" s="3">
        <v>10583508</v>
      </c>
      <c r="R47" s="3"/>
      <c r="S47" s="3">
        <v>197505</v>
      </c>
      <c r="T47" s="3"/>
      <c r="U47" s="3">
        <v>0</v>
      </c>
      <c r="V47" s="3"/>
      <c r="W47" s="3">
        <v>0</v>
      </c>
      <c r="X47" s="3"/>
      <c r="Y47" s="3">
        <v>135634</v>
      </c>
      <c r="Z47" s="36"/>
      <c r="AA47" s="3">
        <v>0</v>
      </c>
      <c r="AB47" s="3"/>
      <c r="AC47" s="3">
        <f t="shared" si="3"/>
        <v>14944117</v>
      </c>
      <c r="AD47" s="3"/>
      <c r="AE47" s="3">
        <v>0</v>
      </c>
      <c r="AF47" s="3"/>
      <c r="AG47" s="3">
        <f t="shared" si="4"/>
        <v>17845816</v>
      </c>
      <c r="AH47" s="3"/>
      <c r="AI47" s="32"/>
    </row>
    <row r="48" spans="1:36">
      <c r="A48" s="3" t="s">
        <v>258</v>
      </c>
      <c r="B48" s="16"/>
      <c r="C48" s="16" t="s">
        <v>160</v>
      </c>
      <c r="E48" s="16">
        <v>50948</v>
      </c>
      <c r="G48" s="3">
        <v>150079</v>
      </c>
      <c r="H48" s="3"/>
      <c r="I48" s="3">
        <v>1064672</v>
      </c>
      <c r="J48" s="3"/>
      <c r="K48" s="3">
        <v>0</v>
      </c>
      <c r="L48" s="3"/>
      <c r="M48" s="3">
        <f t="shared" si="2"/>
        <v>1214751</v>
      </c>
      <c r="N48" s="3"/>
      <c r="O48" s="3">
        <v>9308401</v>
      </c>
      <c r="P48" s="1"/>
      <c r="Q48" s="3">
        <v>4537376</v>
      </c>
      <c r="R48" s="3"/>
      <c r="S48" s="3">
        <v>81637</v>
      </c>
      <c r="T48" s="3"/>
      <c r="U48" s="3">
        <v>0</v>
      </c>
      <c r="V48" s="3"/>
      <c r="W48" s="3">
        <v>0</v>
      </c>
      <c r="X48" s="3"/>
      <c r="Y48" s="3">
        <v>46294</v>
      </c>
      <c r="Z48" s="36"/>
      <c r="AA48" s="3">
        <v>0</v>
      </c>
      <c r="AB48" s="3"/>
      <c r="AC48" s="3">
        <f t="shared" si="3"/>
        <v>13973708</v>
      </c>
      <c r="AD48" s="3"/>
      <c r="AE48" s="3">
        <v>0</v>
      </c>
      <c r="AF48" s="3"/>
      <c r="AG48" s="3">
        <f t="shared" si="4"/>
        <v>15188459</v>
      </c>
      <c r="AH48" s="3"/>
      <c r="AI48" s="3"/>
      <c r="AJ48" s="93"/>
    </row>
    <row r="49" spans="1:35">
      <c r="A49" s="3" t="s">
        <v>259</v>
      </c>
      <c r="B49" s="16"/>
      <c r="C49" s="16" t="s">
        <v>200</v>
      </c>
      <c r="E49" s="16">
        <v>63495</v>
      </c>
      <c r="G49" s="3">
        <v>1411826</v>
      </c>
      <c r="H49" s="3"/>
      <c r="I49" s="3">
        <v>722931</v>
      </c>
      <c r="J49" s="3"/>
      <c r="K49" s="3">
        <v>0</v>
      </c>
      <c r="L49" s="3"/>
      <c r="M49" s="3">
        <f t="shared" si="2"/>
        <v>2134757</v>
      </c>
      <c r="N49" s="3"/>
      <c r="O49" s="3">
        <v>2998026</v>
      </c>
      <c r="P49" s="1"/>
      <c r="Q49" s="3">
        <v>2928721</v>
      </c>
      <c r="R49" s="3"/>
      <c r="S49" s="3">
        <v>33861</v>
      </c>
      <c r="T49" s="3"/>
      <c r="U49" s="3">
        <v>0</v>
      </c>
      <c r="V49" s="3"/>
      <c r="W49" s="3">
        <v>0</v>
      </c>
      <c r="X49" s="3"/>
      <c r="Y49" s="3">
        <v>33163</v>
      </c>
      <c r="Z49" s="36"/>
      <c r="AA49" s="3">
        <v>0</v>
      </c>
      <c r="AB49" s="3"/>
      <c r="AC49" s="3">
        <f t="shared" si="3"/>
        <v>5993771</v>
      </c>
      <c r="AD49" s="3"/>
      <c r="AE49" s="3">
        <v>0</v>
      </c>
      <c r="AF49" s="3"/>
      <c r="AG49" s="3">
        <f t="shared" si="4"/>
        <v>8128528</v>
      </c>
      <c r="AH49" s="3"/>
      <c r="AI49" s="3"/>
    </row>
    <row r="50" spans="1:35">
      <c r="A50" s="3" t="s">
        <v>260</v>
      </c>
      <c r="B50" s="16"/>
      <c r="C50" s="16" t="s">
        <v>196</v>
      </c>
      <c r="E50" s="16">
        <v>51490</v>
      </c>
      <c r="G50" s="3">
        <v>1779160</v>
      </c>
      <c r="H50" s="3"/>
      <c r="I50" s="3">
        <v>1477744</v>
      </c>
      <c r="J50" s="3"/>
      <c r="K50" s="3">
        <v>0</v>
      </c>
      <c r="L50" s="3"/>
      <c r="M50" s="3">
        <f t="shared" si="2"/>
        <v>3256904</v>
      </c>
      <c r="N50" s="3"/>
      <c r="O50" s="3">
        <f>1837895+535090</f>
        <v>2372985</v>
      </c>
      <c r="P50" s="1"/>
      <c r="Q50" s="3">
        <v>4503997</v>
      </c>
      <c r="R50" s="3"/>
      <c r="S50" s="3">
        <v>72635</v>
      </c>
      <c r="T50" s="3"/>
      <c r="U50" s="3">
        <v>0</v>
      </c>
      <c r="V50" s="3"/>
      <c r="W50" s="3">
        <v>0</v>
      </c>
      <c r="X50" s="3"/>
      <c r="Y50" s="3">
        <v>116272</v>
      </c>
      <c r="Z50" s="36"/>
      <c r="AA50" s="3">
        <v>0</v>
      </c>
      <c r="AB50" s="3"/>
      <c r="AC50" s="3">
        <f t="shared" si="3"/>
        <v>7065889</v>
      </c>
      <c r="AD50" s="3"/>
      <c r="AE50" s="3">
        <v>0</v>
      </c>
      <c r="AF50" s="3"/>
      <c r="AG50" s="3">
        <f t="shared" si="4"/>
        <v>10322793</v>
      </c>
      <c r="AH50" s="3"/>
      <c r="AI50" s="3"/>
    </row>
    <row r="51" spans="1:35">
      <c r="A51" s="3" t="s">
        <v>211</v>
      </c>
      <c r="B51" s="16"/>
      <c r="C51" s="16" t="s">
        <v>153</v>
      </c>
      <c r="E51" s="16">
        <v>50799</v>
      </c>
      <c r="G51" s="3">
        <v>273546</v>
      </c>
      <c r="H51" s="3"/>
      <c r="I51" s="3">
        <v>1477853</v>
      </c>
      <c r="J51" s="3"/>
      <c r="K51" s="3">
        <v>0</v>
      </c>
      <c r="L51" s="3"/>
      <c r="M51" s="3">
        <f t="shared" si="2"/>
        <v>1751399</v>
      </c>
      <c r="N51" s="3"/>
      <c r="O51" s="3">
        <f>1694364+157500+471900</f>
        <v>2323764</v>
      </c>
      <c r="P51" s="1"/>
      <c r="Q51" s="3">
        <v>2755127</v>
      </c>
      <c r="R51" s="3"/>
      <c r="S51" s="3">
        <v>115320</v>
      </c>
      <c r="T51" s="3"/>
      <c r="U51" s="3">
        <v>0</v>
      </c>
      <c r="V51" s="3"/>
      <c r="W51" s="3">
        <v>0</v>
      </c>
      <c r="X51" s="3"/>
      <c r="Y51" s="3">
        <v>3766</v>
      </c>
      <c r="Z51" s="36"/>
      <c r="AA51" s="3">
        <v>0</v>
      </c>
      <c r="AB51" s="3"/>
      <c r="AC51" s="3">
        <f t="shared" si="3"/>
        <v>5197977</v>
      </c>
      <c r="AD51" s="3"/>
      <c r="AE51" s="3">
        <v>0</v>
      </c>
      <c r="AF51" s="3"/>
      <c r="AG51" s="3">
        <f t="shared" si="4"/>
        <v>6949376</v>
      </c>
      <c r="AH51" s="3"/>
      <c r="AI51" s="3"/>
    </row>
    <row r="52" spans="1:35">
      <c r="A52" s="3" t="s">
        <v>286</v>
      </c>
      <c r="B52" s="16"/>
      <c r="C52" s="16" t="s">
        <v>155</v>
      </c>
      <c r="E52" s="16">
        <v>51532</v>
      </c>
      <c r="G52" s="3">
        <v>248056</v>
      </c>
      <c r="H52" s="3"/>
      <c r="I52" s="3">
        <v>620754</v>
      </c>
      <c r="J52" s="3"/>
      <c r="K52" s="3">
        <v>0</v>
      </c>
      <c r="L52" s="3"/>
      <c r="M52" s="3">
        <f t="shared" si="2"/>
        <v>868810</v>
      </c>
      <c r="N52" s="3"/>
      <c r="O52" s="3">
        <v>4877110</v>
      </c>
      <c r="P52" s="1"/>
      <c r="Q52" s="3">
        <v>6896126</v>
      </c>
      <c r="R52" s="3"/>
      <c r="S52" s="3">
        <v>21289</v>
      </c>
      <c r="T52" s="3"/>
      <c r="U52" s="3">
        <v>0</v>
      </c>
      <c r="V52" s="3"/>
      <c r="W52" s="3">
        <v>0</v>
      </c>
      <c r="X52" s="3"/>
      <c r="Y52" s="3">
        <v>8042</v>
      </c>
      <c r="Z52" s="36"/>
      <c r="AA52" s="3">
        <v>0</v>
      </c>
      <c r="AB52" s="3"/>
      <c r="AC52" s="3">
        <f t="shared" si="3"/>
        <v>11802567</v>
      </c>
      <c r="AD52" s="3"/>
      <c r="AE52" s="3">
        <v>0</v>
      </c>
      <c r="AF52" s="3"/>
      <c r="AG52" s="3">
        <f t="shared" si="4"/>
        <v>12671377</v>
      </c>
      <c r="AH52" s="3"/>
      <c r="AI52" s="32"/>
    </row>
    <row r="53" spans="1:35">
      <c r="A53" s="3" t="s">
        <v>226</v>
      </c>
      <c r="B53" s="16"/>
      <c r="C53" s="16" t="s">
        <v>199</v>
      </c>
      <c r="E53" s="16">
        <v>62026</v>
      </c>
      <c r="G53" s="3">
        <v>394709</v>
      </c>
      <c r="H53" s="3"/>
      <c r="I53" s="3">
        <v>658877</v>
      </c>
      <c r="J53" s="3"/>
      <c r="K53" s="3">
        <v>0</v>
      </c>
      <c r="L53" s="3"/>
      <c r="M53" s="3">
        <f>SUM(G53:L53)</f>
        <v>1053586</v>
      </c>
      <c r="N53" s="3"/>
      <c r="O53" s="3">
        <v>2526839</v>
      </c>
      <c r="P53" s="1"/>
      <c r="Q53" s="3">
        <v>4699804</v>
      </c>
      <c r="R53" s="3"/>
      <c r="S53" s="3">
        <v>119925</v>
      </c>
      <c r="T53" s="3"/>
      <c r="U53" s="3">
        <v>0</v>
      </c>
      <c r="V53" s="3"/>
      <c r="W53" s="3">
        <v>0</v>
      </c>
      <c r="X53" s="3"/>
      <c r="Y53" s="3">
        <v>23521</v>
      </c>
      <c r="Z53" s="36"/>
      <c r="AA53" s="3">
        <v>0</v>
      </c>
      <c r="AB53" s="3"/>
      <c r="AC53" s="3">
        <f t="shared" si="3"/>
        <v>7370089</v>
      </c>
      <c r="AD53" s="3"/>
      <c r="AE53" s="3">
        <v>0</v>
      </c>
      <c r="AF53" s="3"/>
      <c r="AG53" s="3">
        <f>+AC53+M53</f>
        <v>8423675</v>
      </c>
      <c r="AH53" s="3"/>
      <c r="AI53" s="3"/>
    </row>
    <row r="54" spans="1:35">
      <c r="A54" s="3" t="s">
        <v>290</v>
      </c>
      <c r="B54" s="16"/>
      <c r="C54" s="16" t="s">
        <v>220</v>
      </c>
      <c r="E54" s="16"/>
      <c r="G54" s="3">
        <v>608626</v>
      </c>
      <c r="H54" s="3"/>
      <c r="I54" s="3">
        <v>707757</v>
      </c>
      <c r="J54" s="3"/>
      <c r="K54" s="3">
        <v>0</v>
      </c>
      <c r="L54" s="3"/>
      <c r="M54" s="3">
        <f>SUM(G54:L54)</f>
        <v>1316383</v>
      </c>
      <c r="N54" s="3"/>
      <c r="O54" s="3">
        <v>7734066</v>
      </c>
      <c r="P54" s="1"/>
      <c r="Q54" s="3">
        <v>3457303</v>
      </c>
      <c r="R54" s="3"/>
      <c r="S54" s="3">
        <v>70559</v>
      </c>
      <c r="T54" s="3"/>
      <c r="U54" s="3">
        <v>0</v>
      </c>
      <c r="V54" s="3"/>
      <c r="W54" s="3">
        <v>0</v>
      </c>
      <c r="X54" s="3"/>
      <c r="Y54" s="3">
        <v>250580</v>
      </c>
      <c r="Z54" s="36"/>
      <c r="AA54" s="3">
        <v>0</v>
      </c>
      <c r="AB54" s="3"/>
      <c r="AC54" s="3">
        <f t="shared" si="3"/>
        <v>11512508</v>
      </c>
      <c r="AD54" s="3"/>
      <c r="AE54" s="3">
        <v>0</v>
      </c>
      <c r="AF54" s="3"/>
      <c r="AG54" s="3">
        <f t="shared" ref="AG54:AG55" si="5">+AC54+M54</f>
        <v>12828891</v>
      </c>
      <c r="AH54" s="3"/>
      <c r="AI54" s="3"/>
    </row>
    <row r="55" spans="1:35">
      <c r="A55" s="3" t="s">
        <v>312</v>
      </c>
      <c r="B55" s="16"/>
      <c r="C55" s="16" t="s">
        <v>148</v>
      </c>
      <c r="E55" s="16">
        <v>51607</v>
      </c>
      <c r="G55" s="3">
        <v>41096</v>
      </c>
      <c r="H55" s="3"/>
      <c r="I55" s="3">
        <v>1015435</v>
      </c>
      <c r="J55" s="3"/>
      <c r="K55" s="3">
        <v>0</v>
      </c>
      <c r="L55" s="3"/>
      <c r="M55" s="3">
        <f t="shared" si="2"/>
        <v>1056531</v>
      </c>
      <c r="N55" s="3"/>
      <c r="O55" s="3">
        <v>3673427</v>
      </c>
      <c r="P55" s="1"/>
      <c r="Q55" s="3">
        <v>4166521</v>
      </c>
      <c r="R55" s="3"/>
      <c r="S55" s="3">
        <v>89284</v>
      </c>
      <c r="T55" s="3"/>
      <c r="U55" s="3">
        <v>0</v>
      </c>
      <c r="V55" s="3"/>
      <c r="W55" s="3">
        <v>0</v>
      </c>
      <c r="X55" s="3"/>
      <c r="Y55" s="3">
        <v>46242</v>
      </c>
      <c r="Z55" s="36"/>
      <c r="AA55" s="3">
        <v>-25000</v>
      </c>
      <c r="AB55" s="3"/>
      <c r="AC55" s="3">
        <f t="shared" si="3"/>
        <v>7950474</v>
      </c>
      <c r="AD55" s="3"/>
      <c r="AE55" s="3">
        <v>0</v>
      </c>
      <c r="AF55" s="3"/>
      <c r="AG55" s="3">
        <f t="shared" si="5"/>
        <v>9007005</v>
      </c>
      <c r="AH55" s="3"/>
      <c r="AI55" s="3"/>
    </row>
    <row r="56" spans="1:35">
      <c r="A56" s="3" t="s">
        <v>221</v>
      </c>
      <c r="B56" s="16"/>
      <c r="C56" s="16" t="s">
        <v>222</v>
      </c>
      <c r="E56" s="16">
        <v>65268</v>
      </c>
      <c r="G56" s="3">
        <v>24852</v>
      </c>
      <c r="H56" s="3"/>
      <c r="I56" s="3">
        <v>2844548</v>
      </c>
      <c r="J56" s="3"/>
      <c r="K56" s="3">
        <v>0</v>
      </c>
      <c r="L56" s="3"/>
      <c r="M56" s="3">
        <f t="shared" si="2"/>
        <v>2869400</v>
      </c>
      <c r="N56" s="3"/>
      <c r="O56" s="3">
        <v>3756255</v>
      </c>
      <c r="P56" s="1"/>
      <c r="Q56" s="3">
        <v>4712211</v>
      </c>
      <c r="R56" s="3"/>
      <c r="S56" s="3">
        <v>4439</v>
      </c>
      <c r="T56" s="3"/>
      <c r="U56" s="3">
        <v>9490</v>
      </c>
      <c r="V56" s="3"/>
      <c r="W56" s="3">
        <v>0</v>
      </c>
      <c r="X56" s="3"/>
      <c r="Y56" s="3">
        <v>131086</v>
      </c>
      <c r="Z56" s="36"/>
      <c r="AA56" s="3">
        <v>0</v>
      </c>
      <c r="AB56" s="3"/>
      <c r="AC56" s="3">
        <f t="shared" si="3"/>
        <v>8613481</v>
      </c>
      <c r="AD56" s="3"/>
      <c r="AE56" s="3">
        <v>0</v>
      </c>
      <c r="AF56" s="3"/>
      <c r="AG56" s="3">
        <f t="shared" si="4"/>
        <v>11482881</v>
      </c>
      <c r="AH56" s="3"/>
      <c r="AI56" s="3"/>
    </row>
    <row r="57" spans="1:35">
      <c r="A57" s="3" t="s">
        <v>313</v>
      </c>
      <c r="B57" s="16"/>
      <c r="C57" s="16" t="s">
        <v>201</v>
      </c>
      <c r="E57" s="16">
        <v>51631</v>
      </c>
      <c r="G57" s="3">
        <v>620338</v>
      </c>
      <c r="H57" s="3"/>
      <c r="I57" s="3">
        <v>2245612</v>
      </c>
      <c r="J57" s="3"/>
      <c r="K57" s="3">
        <v>0</v>
      </c>
      <c r="L57" s="3"/>
      <c r="M57" s="3">
        <f t="shared" si="2"/>
        <v>2865950</v>
      </c>
      <c r="N57" s="3"/>
      <c r="O57" s="3">
        <v>4889868</v>
      </c>
      <c r="P57" s="1"/>
      <c r="Q57" s="3">
        <v>6779252</v>
      </c>
      <c r="R57" s="3"/>
      <c r="S57" s="3">
        <v>142109</v>
      </c>
      <c r="T57" s="3"/>
      <c r="U57" s="3">
        <v>0</v>
      </c>
      <c r="V57" s="3"/>
      <c r="W57" s="3">
        <v>0</v>
      </c>
      <c r="X57" s="3"/>
      <c r="Y57" s="3">
        <v>43439</v>
      </c>
      <c r="Z57" s="36"/>
      <c r="AA57" s="3">
        <v>0</v>
      </c>
      <c r="AB57" s="3"/>
      <c r="AC57" s="3">
        <f t="shared" si="3"/>
        <v>11854668</v>
      </c>
      <c r="AD57" s="3"/>
      <c r="AE57" s="3">
        <v>0</v>
      </c>
      <c r="AF57" s="3"/>
      <c r="AG57" s="3">
        <f t="shared" si="4"/>
        <v>14720618</v>
      </c>
      <c r="AH57" s="3"/>
      <c r="AI57" s="3"/>
    </row>
    <row r="58" spans="1:35">
      <c r="A58" s="3" t="s">
        <v>212</v>
      </c>
      <c r="B58" s="16"/>
      <c r="C58" s="16" t="s">
        <v>157</v>
      </c>
      <c r="E58" s="16">
        <v>62802</v>
      </c>
      <c r="G58" s="3">
        <v>309764</v>
      </c>
      <c r="H58" s="3"/>
      <c r="I58" s="3">
        <v>296822</v>
      </c>
      <c r="J58" s="3"/>
      <c r="K58" s="3">
        <v>0</v>
      </c>
      <c r="L58" s="3"/>
      <c r="M58" s="3">
        <f t="shared" si="2"/>
        <v>606586</v>
      </c>
      <c r="N58" s="3"/>
      <c r="O58" s="3">
        <v>3685900</v>
      </c>
      <c r="P58" s="1"/>
      <c r="Q58" s="3">
        <v>3925386</v>
      </c>
      <c r="R58" s="3"/>
      <c r="S58" s="3">
        <v>226276</v>
      </c>
      <c r="T58" s="3"/>
      <c r="U58" s="3">
        <v>0</v>
      </c>
      <c r="V58" s="3"/>
      <c r="W58" s="3">
        <v>0</v>
      </c>
      <c r="X58" s="3"/>
      <c r="Y58" s="3">
        <v>50691</v>
      </c>
      <c r="Z58" s="36"/>
      <c r="AA58" s="3">
        <v>0</v>
      </c>
      <c r="AB58" s="3"/>
      <c r="AC58" s="3">
        <f t="shared" si="3"/>
        <v>7888253</v>
      </c>
      <c r="AD58" s="3"/>
      <c r="AE58" s="3">
        <v>0</v>
      </c>
      <c r="AF58" s="3"/>
      <c r="AG58" s="3">
        <f t="shared" si="4"/>
        <v>8494839</v>
      </c>
      <c r="AH58" s="3"/>
      <c r="AI58" s="3"/>
    </row>
    <row r="59" spans="1:35">
      <c r="A59" s="3" t="s">
        <v>224</v>
      </c>
      <c r="B59" s="16"/>
      <c r="C59" s="16" t="s">
        <v>183</v>
      </c>
      <c r="E59" s="16">
        <v>62125</v>
      </c>
      <c r="G59" s="3">
        <v>1795610</v>
      </c>
      <c r="H59" s="3"/>
      <c r="I59" s="3">
        <v>4653526</v>
      </c>
      <c r="J59" s="3"/>
      <c r="K59" s="3">
        <v>0</v>
      </c>
      <c r="L59" s="3"/>
      <c r="M59" s="3">
        <f t="shared" si="2"/>
        <v>6449136</v>
      </c>
      <c r="N59" s="3"/>
      <c r="O59" s="3">
        <f>5101855+817402</f>
        <v>5919257</v>
      </c>
      <c r="P59" s="1"/>
      <c r="Q59" s="3">
        <v>8719855</v>
      </c>
      <c r="R59" s="3"/>
      <c r="S59" s="3">
        <v>43471</v>
      </c>
      <c r="T59" s="3"/>
      <c r="U59" s="3">
        <v>0</v>
      </c>
      <c r="V59" s="3"/>
      <c r="W59" s="3">
        <v>45904</v>
      </c>
      <c r="X59" s="3"/>
      <c r="Y59" s="3">
        <v>61709</v>
      </c>
      <c r="Z59" s="36"/>
      <c r="AA59" s="3">
        <v>0</v>
      </c>
      <c r="AB59" s="3"/>
      <c r="AC59" s="3">
        <f t="shared" si="3"/>
        <v>14790196</v>
      </c>
      <c r="AD59" s="3"/>
      <c r="AE59" s="3">
        <v>0</v>
      </c>
      <c r="AF59" s="3"/>
      <c r="AG59" s="3">
        <f t="shared" si="4"/>
        <v>21239332</v>
      </c>
      <c r="AH59" s="3"/>
      <c r="AI59" s="3"/>
    </row>
    <row r="60" spans="1:35">
      <c r="A60" s="3" t="s">
        <v>261</v>
      </c>
      <c r="B60" s="16"/>
      <c r="C60" s="16" t="s">
        <v>195</v>
      </c>
      <c r="E60" s="16">
        <v>51458</v>
      </c>
      <c r="G60" s="3">
        <v>1207109</v>
      </c>
      <c r="H60" s="3"/>
      <c r="I60" s="3">
        <v>2383250</v>
      </c>
      <c r="J60" s="3"/>
      <c r="K60" s="3">
        <v>0</v>
      </c>
      <c r="L60" s="3"/>
      <c r="M60" s="3">
        <f t="shared" si="2"/>
        <v>3590359</v>
      </c>
      <c r="N60" s="3"/>
      <c r="O60" s="3">
        <v>4274347</v>
      </c>
      <c r="P60" s="1"/>
      <c r="Q60" s="3">
        <v>7926768</v>
      </c>
      <c r="R60" s="3"/>
      <c r="S60" s="3">
        <v>322051</v>
      </c>
      <c r="T60" s="3"/>
      <c r="U60" s="3">
        <v>0</v>
      </c>
      <c r="V60" s="3"/>
      <c r="W60" s="3">
        <v>0</v>
      </c>
      <c r="X60" s="3"/>
      <c r="Y60" s="3">
        <v>142407</v>
      </c>
      <c r="Z60" s="36"/>
      <c r="AA60" s="3">
        <v>0</v>
      </c>
      <c r="AB60" s="3"/>
      <c r="AC60" s="3">
        <f t="shared" si="3"/>
        <v>12665573</v>
      </c>
      <c r="AD60" s="3"/>
      <c r="AE60" s="3">
        <v>0</v>
      </c>
      <c r="AF60" s="3"/>
      <c r="AG60" s="3">
        <f t="shared" si="4"/>
        <v>16255932</v>
      </c>
      <c r="AH60" s="3"/>
      <c r="AI60" s="32"/>
    </row>
    <row r="61" spans="1:35">
      <c r="A61" s="3" t="s">
        <v>262</v>
      </c>
      <c r="B61" s="16"/>
      <c r="C61" s="16" t="s">
        <v>204</v>
      </c>
      <c r="E61" s="16">
        <v>51672</v>
      </c>
      <c r="G61" s="3">
        <v>1762097</v>
      </c>
      <c r="H61" s="3"/>
      <c r="I61" s="3">
        <v>1183792</v>
      </c>
      <c r="J61" s="3"/>
      <c r="K61" s="3">
        <v>0</v>
      </c>
      <c r="L61" s="3"/>
      <c r="M61" s="3">
        <f t="shared" si="2"/>
        <v>2945889</v>
      </c>
      <c r="N61" s="3"/>
      <c r="O61" s="3">
        <f>2476612+951484+444963</f>
        <v>3873059</v>
      </c>
      <c r="P61" s="1"/>
      <c r="Q61" s="3">
        <v>4636324</v>
      </c>
      <c r="R61" s="3"/>
      <c r="S61" s="3">
        <v>146271</v>
      </c>
      <c r="T61" s="3"/>
      <c r="U61" s="3">
        <v>0</v>
      </c>
      <c r="V61" s="3"/>
      <c r="W61" s="3">
        <v>0</v>
      </c>
      <c r="X61" s="3"/>
      <c r="Y61" s="3">
        <v>22122</v>
      </c>
      <c r="Z61" s="36"/>
      <c r="AA61" s="3">
        <v>0</v>
      </c>
      <c r="AB61" s="3"/>
      <c r="AC61" s="3">
        <f t="shared" si="3"/>
        <v>8677776</v>
      </c>
      <c r="AD61" s="3"/>
      <c r="AE61" s="3">
        <v>-48205</v>
      </c>
      <c r="AF61" s="3"/>
      <c r="AG61" s="3">
        <f>+AC61+M61+AE61</f>
        <v>11575460</v>
      </c>
      <c r="AH61" s="3"/>
      <c r="AI61" s="3"/>
    </row>
    <row r="62" spans="1:35">
      <c r="A62" s="3" t="s">
        <v>228</v>
      </c>
      <c r="B62" s="16"/>
      <c r="C62" s="16" t="s">
        <v>205</v>
      </c>
      <c r="E62" s="16">
        <v>51474</v>
      </c>
      <c r="G62" s="3">
        <v>2934797</v>
      </c>
      <c r="H62" s="3"/>
      <c r="I62" s="3">
        <v>1349200</v>
      </c>
      <c r="J62" s="3"/>
      <c r="K62" s="3">
        <v>0</v>
      </c>
      <c r="L62" s="3"/>
      <c r="M62" s="3">
        <f t="shared" si="2"/>
        <v>4283997</v>
      </c>
      <c r="N62" s="3"/>
      <c r="O62" s="3">
        <v>8237191</v>
      </c>
      <c r="P62" s="1"/>
      <c r="Q62" s="3">
        <v>6393291</v>
      </c>
      <c r="R62" s="3"/>
      <c r="S62" s="3">
        <v>104588</v>
      </c>
      <c r="T62" s="3"/>
      <c r="U62" s="3">
        <v>83566</v>
      </c>
      <c r="V62" s="3"/>
      <c r="W62" s="3">
        <v>0</v>
      </c>
      <c r="X62" s="3"/>
      <c r="Y62" s="3">
        <v>71671</v>
      </c>
      <c r="Z62" s="36"/>
      <c r="AA62" s="3">
        <v>0</v>
      </c>
      <c r="AB62" s="3"/>
      <c r="AC62" s="3">
        <f t="shared" si="3"/>
        <v>14890307</v>
      </c>
      <c r="AD62" s="3"/>
      <c r="AE62" s="3">
        <v>0</v>
      </c>
      <c r="AF62" s="3"/>
      <c r="AG62" s="3">
        <f t="shared" si="4"/>
        <v>19174304</v>
      </c>
      <c r="AH62" s="3"/>
      <c r="AI62" s="3"/>
    </row>
    <row r="63" spans="1:35">
      <c r="A63" s="3" t="s">
        <v>276</v>
      </c>
      <c r="B63" s="16"/>
      <c r="C63" s="16" t="s">
        <v>206</v>
      </c>
      <c r="E63" s="16">
        <v>51698</v>
      </c>
      <c r="G63" s="3">
        <v>135545</v>
      </c>
      <c r="H63" s="3"/>
      <c r="I63" s="3">
        <v>1270591</v>
      </c>
      <c r="J63" s="3"/>
      <c r="K63" s="3">
        <v>2275</v>
      </c>
      <c r="L63" s="3"/>
      <c r="M63" s="3">
        <f t="shared" si="2"/>
        <v>1408411</v>
      </c>
      <c r="N63" s="3"/>
      <c r="O63" s="3">
        <v>1804896</v>
      </c>
      <c r="P63" s="1"/>
      <c r="Q63" s="3">
        <v>3656735</v>
      </c>
      <c r="R63" s="3"/>
      <c r="S63" s="3">
        <v>146634</v>
      </c>
      <c r="T63" s="3"/>
      <c r="U63" s="3">
        <v>16868</v>
      </c>
      <c r="V63" s="3"/>
      <c r="W63" s="3">
        <v>0</v>
      </c>
      <c r="X63" s="3"/>
      <c r="Y63" s="3">
        <v>46344</v>
      </c>
      <c r="Z63" s="36"/>
      <c r="AA63" s="3">
        <v>0</v>
      </c>
      <c r="AB63" s="3"/>
      <c r="AC63" s="3">
        <f t="shared" si="3"/>
        <v>5671477</v>
      </c>
      <c r="AD63" s="3"/>
      <c r="AE63" s="3">
        <v>0</v>
      </c>
      <c r="AF63" s="3"/>
      <c r="AG63" s="3">
        <f t="shared" si="4"/>
        <v>7079888</v>
      </c>
      <c r="AH63" s="3"/>
      <c r="AI63" s="3"/>
    </row>
    <row r="64" spans="1:35">
      <c r="A64" s="3" t="s">
        <v>263</v>
      </c>
      <c r="B64" s="16"/>
      <c r="C64" s="16" t="s">
        <v>208</v>
      </c>
      <c r="E64" s="16">
        <v>51714</v>
      </c>
      <c r="G64" s="3">
        <v>1959249</v>
      </c>
      <c r="H64" s="3"/>
      <c r="I64" s="3">
        <v>4189124</v>
      </c>
      <c r="J64" s="3"/>
      <c r="K64" s="3">
        <v>205067</v>
      </c>
      <c r="L64" s="3"/>
      <c r="M64" s="3">
        <f t="shared" si="2"/>
        <v>6353440</v>
      </c>
      <c r="N64" s="3"/>
      <c r="O64" s="3">
        <f>4160166+1389872</f>
        <v>5550038</v>
      </c>
      <c r="P64" s="1"/>
      <c r="Q64" s="3">
        <v>5118003</v>
      </c>
      <c r="R64" s="3"/>
      <c r="S64" s="3">
        <v>20365</v>
      </c>
      <c r="T64" s="3"/>
      <c r="U64" s="3">
        <v>0</v>
      </c>
      <c r="V64" s="3"/>
      <c r="W64" s="3">
        <v>0</v>
      </c>
      <c r="X64" s="3"/>
      <c r="Y64" s="3">
        <v>2047</v>
      </c>
      <c r="Z64" s="36"/>
      <c r="AA64" s="3">
        <v>0</v>
      </c>
      <c r="AB64" s="3"/>
      <c r="AC64" s="3">
        <f t="shared" si="3"/>
        <v>10690453</v>
      </c>
      <c r="AD64" s="3"/>
      <c r="AE64" s="3">
        <v>0</v>
      </c>
      <c r="AF64" s="3"/>
      <c r="AG64" s="3">
        <f t="shared" si="4"/>
        <v>17043893</v>
      </c>
      <c r="AH64" s="3"/>
      <c r="AI64" s="32"/>
    </row>
    <row r="65" spans="1:35">
      <c r="A65" s="3"/>
      <c r="B65" s="16"/>
      <c r="C65" s="16"/>
      <c r="E65" s="16"/>
      <c r="G65" s="3"/>
      <c r="H65" s="3"/>
      <c r="I65" s="3"/>
      <c r="J65" s="3"/>
      <c r="K65" s="3"/>
      <c r="L65" s="3"/>
      <c r="M65" s="3"/>
      <c r="N65" s="3"/>
      <c r="O65" s="3"/>
      <c r="P65" s="1"/>
      <c r="Q65" s="3"/>
      <c r="R65" s="3"/>
      <c r="S65" s="3"/>
      <c r="T65" s="3"/>
      <c r="U65" s="3"/>
      <c r="V65" s="3"/>
      <c r="W65" s="3"/>
      <c r="X65" s="3"/>
      <c r="Y65" s="3"/>
      <c r="Z65" s="36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16"/>
      <c r="C66" s="16"/>
      <c r="E66" s="16"/>
      <c r="G66" s="3"/>
      <c r="H66" s="3"/>
      <c r="I66" s="3"/>
      <c r="J66" s="3"/>
      <c r="K66" s="3"/>
      <c r="L66" s="3"/>
      <c r="M66" s="3"/>
      <c r="N66" s="3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36"/>
      <c r="AA66" s="3"/>
      <c r="AB66" s="3"/>
      <c r="AC66" s="3"/>
      <c r="AD66" s="3"/>
      <c r="AE66" s="3"/>
      <c r="AF66" s="3"/>
      <c r="AG66" s="17" t="s">
        <v>266</v>
      </c>
      <c r="AH66" s="3"/>
      <c r="AI66" s="3"/>
    </row>
    <row r="67" spans="1:35">
      <c r="A67" s="40" t="s">
        <v>265</v>
      </c>
      <c r="B67" s="16"/>
      <c r="C67" s="16"/>
      <c r="E67" s="16"/>
      <c r="G67" s="3"/>
      <c r="H67" s="3"/>
      <c r="I67" s="3"/>
      <c r="J67" s="3"/>
      <c r="K67" s="3"/>
      <c r="L67" s="3"/>
      <c r="M67" s="3"/>
      <c r="N67" s="3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36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40"/>
      <c r="B68" s="16"/>
      <c r="C68" s="16"/>
      <c r="E68" s="16"/>
      <c r="G68" s="3"/>
      <c r="H68" s="3"/>
      <c r="I68" s="3"/>
      <c r="J68" s="3"/>
      <c r="K68" s="3"/>
      <c r="L68" s="3"/>
      <c r="M68" s="3"/>
      <c r="N68" s="3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36"/>
      <c r="AA68" s="3"/>
      <c r="AB68" s="3"/>
      <c r="AC68" s="3"/>
      <c r="AD68" s="3"/>
      <c r="AE68" s="3"/>
      <c r="AF68" s="3"/>
      <c r="AG68" s="3"/>
      <c r="AH68" s="3"/>
      <c r="AI68" s="3"/>
    </row>
    <row r="69" spans="1:35" s="72" customFormat="1" hidden="1">
      <c r="A69" s="65" t="s">
        <v>414</v>
      </c>
      <c r="B69" s="65"/>
      <c r="C69" s="65" t="s">
        <v>272</v>
      </c>
      <c r="E69" s="66">
        <v>45849</v>
      </c>
      <c r="G69" s="65"/>
      <c r="H69" s="65"/>
      <c r="I69" s="65"/>
      <c r="J69" s="65"/>
      <c r="K69" s="65"/>
      <c r="L69" s="65"/>
      <c r="M69" s="65">
        <f t="shared" si="2"/>
        <v>0</v>
      </c>
      <c r="N69" s="65"/>
      <c r="O69" s="65"/>
      <c r="P69" s="75"/>
      <c r="Q69" s="65"/>
      <c r="R69" s="65"/>
      <c r="S69" s="65"/>
      <c r="T69" s="65"/>
      <c r="U69" s="65"/>
      <c r="V69" s="65"/>
      <c r="W69" s="65"/>
      <c r="X69" s="65"/>
      <c r="Y69" s="65"/>
      <c r="Z69" s="74"/>
      <c r="AA69" s="65"/>
      <c r="AB69" s="65"/>
      <c r="AC69" s="65">
        <f>SUM(O69:AA69)</f>
        <v>0</v>
      </c>
      <c r="AD69" s="65"/>
      <c r="AE69" s="65">
        <v>0</v>
      </c>
      <c r="AF69" s="65"/>
      <c r="AG69" s="65">
        <f t="shared" ref="AG69:AG100" si="6">+AC69+M69</f>
        <v>0</v>
      </c>
      <c r="AH69" s="68"/>
      <c r="AI69" s="66" t="s">
        <v>413</v>
      </c>
    </row>
    <row r="70" spans="1:35" s="72" customFormat="1" hidden="1">
      <c r="A70" s="65" t="s">
        <v>415</v>
      </c>
      <c r="B70" s="65"/>
      <c r="C70" s="65" t="s">
        <v>147</v>
      </c>
      <c r="E70" s="66"/>
      <c r="G70" s="65"/>
      <c r="H70" s="65"/>
      <c r="I70" s="65"/>
      <c r="J70" s="65"/>
      <c r="K70" s="65"/>
      <c r="L70" s="65"/>
      <c r="M70" s="65">
        <f>SUM(G70:L70)</f>
        <v>0</v>
      </c>
      <c r="N70" s="65"/>
      <c r="O70" s="65"/>
      <c r="P70" s="75"/>
      <c r="Q70" s="65"/>
      <c r="R70" s="65"/>
      <c r="S70" s="65"/>
      <c r="T70" s="65"/>
      <c r="U70" s="65"/>
      <c r="V70" s="65"/>
      <c r="W70" s="65"/>
      <c r="X70" s="65"/>
      <c r="Y70" s="65"/>
      <c r="Z70" s="74"/>
      <c r="AA70" s="65"/>
      <c r="AB70" s="65"/>
      <c r="AC70" s="65">
        <f>SUM(O70:AA70)</f>
        <v>0</v>
      </c>
      <c r="AD70" s="65"/>
      <c r="AE70" s="65">
        <v>0</v>
      </c>
      <c r="AF70" s="65"/>
      <c r="AG70" s="65">
        <f t="shared" si="6"/>
        <v>0</v>
      </c>
      <c r="AH70" s="68"/>
      <c r="AI70" s="66" t="s">
        <v>377</v>
      </c>
    </row>
    <row r="71" spans="1:35">
      <c r="A71" s="3" t="s">
        <v>151</v>
      </c>
      <c r="B71" s="16"/>
      <c r="C71" s="16" t="s">
        <v>148</v>
      </c>
      <c r="E71" s="16">
        <v>135145</v>
      </c>
      <c r="G71" s="20">
        <v>4165940</v>
      </c>
      <c r="H71" s="20"/>
      <c r="I71" s="20">
        <v>4143138</v>
      </c>
      <c r="J71" s="20"/>
      <c r="K71" s="20">
        <v>0</v>
      </c>
      <c r="L71" s="20"/>
      <c r="M71" s="20">
        <f t="shared" si="2"/>
        <v>8309078</v>
      </c>
      <c r="N71" s="20"/>
      <c r="O71" s="20">
        <v>0</v>
      </c>
      <c r="P71" s="91"/>
      <c r="Q71" s="20">
        <v>373617</v>
      </c>
      <c r="R71" s="20"/>
      <c r="S71" s="20">
        <v>11279</v>
      </c>
      <c r="T71" s="20"/>
      <c r="U71" s="20">
        <v>0</v>
      </c>
      <c r="V71" s="20"/>
      <c r="W71" s="20">
        <v>10</v>
      </c>
      <c r="X71" s="20"/>
      <c r="Y71" s="20">
        <v>32423</v>
      </c>
      <c r="Z71" s="92"/>
      <c r="AA71" s="20">
        <v>0</v>
      </c>
      <c r="AB71" s="20"/>
      <c r="AC71" s="20">
        <f>SUM(O71:AA71)</f>
        <v>417329</v>
      </c>
      <c r="AD71" s="20"/>
      <c r="AE71" s="20">
        <v>0</v>
      </c>
      <c r="AF71" s="20"/>
      <c r="AG71" s="20">
        <f t="shared" si="6"/>
        <v>8726407</v>
      </c>
      <c r="AH71" s="20"/>
      <c r="AI71" s="16"/>
    </row>
    <row r="72" spans="1:35" s="72" customFormat="1" hidden="1">
      <c r="A72" s="65" t="s">
        <v>416</v>
      </c>
      <c r="B72" s="65"/>
      <c r="C72" s="65" t="s">
        <v>273</v>
      </c>
      <c r="E72" s="66"/>
      <c r="G72" s="65"/>
      <c r="H72" s="65"/>
      <c r="I72" s="65"/>
      <c r="J72" s="65"/>
      <c r="K72" s="65"/>
      <c r="L72" s="65"/>
      <c r="M72" s="65">
        <f>SUM(G72:L72)</f>
        <v>0</v>
      </c>
      <c r="N72" s="65"/>
      <c r="O72" s="65"/>
      <c r="P72" s="75"/>
      <c r="Q72" s="65"/>
      <c r="R72" s="65"/>
      <c r="S72" s="65"/>
      <c r="T72" s="65"/>
      <c r="U72" s="65"/>
      <c r="V72" s="65"/>
      <c r="W72" s="65"/>
      <c r="X72" s="65"/>
      <c r="Y72" s="65"/>
      <c r="Z72" s="74"/>
      <c r="AA72" s="65"/>
      <c r="AB72" s="65"/>
      <c r="AC72" s="65">
        <f t="shared" ref="AC72:AC130" si="7">SUM(O72:AA72)</f>
        <v>0</v>
      </c>
      <c r="AD72" s="65"/>
      <c r="AE72" s="65">
        <v>0</v>
      </c>
      <c r="AF72" s="65"/>
      <c r="AG72" s="65">
        <f t="shared" si="6"/>
        <v>0</v>
      </c>
      <c r="AH72" s="65"/>
      <c r="AI72" s="66" t="s">
        <v>404</v>
      </c>
    </row>
    <row r="73" spans="1:35">
      <c r="A73" s="16" t="s">
        <v>322</v>
      </c>
      <c r="B73" s="16"/>
      <c r="C73" s="16" t="s">
        <v>153</v>
      </c>
      <c r="E73" s="16">
        <v>46029</v>
      </c>
      <c r="G73" s="3">
        <v>3587326</v>
      </c>
      <c r="H73" s="3"/>
      <c r="I73" s="3">
        <v>819710</v>
      </c>
      <c r="J73" s="3"/>
      <c r="K73" s="3">
        <v>0</v>
      </c>
      <c r="L73" s="3"/>
      <c r="M73" s="3">
        <f t="shared" si="2"/>
        <v>4407036</v>
      </c>
      <c r="N73" s="3"/>
      <c r="O73" s="3">
        <v>0</v>
      </c>
      <c r="P73" s="1"/>
      <c r="Q73" s="3">
        <v>224226</v>
      </c>
      <c r="R73" s="3"/>
      <c r="S73" s="3">
        <v>24832</v>
      </c>
      <c r="T73" s="3"/>
      <c r="U73" s="3">
        <v>0</v>
      </c>
      <c r="V73" s="3"/>
      <c r="W73" s="3">
        <v>245</v>
      </c>
      <c r="X73" s="3"/>
      <c r="Y73" s="3">
        <v>0</v>
      </c>
      <c r="Z73" s="36"/>
      <c r="AA73" s="3">
        <v>0</v>
      </c>
      <c r="AB73" s="3"/>
      <c r="AC73" s="3">
        <f t="shared" si="7"/>
        <v>249303</v>
      </c>
      <c r="AD73" s="3"/>
      <c r="AE73" s="3">
        <v>0</v>
      </c>
      <c r="AF73" s="3"/>
      <c r="AG73" s="3">
        <f t="shared" si="6"/>
        <v>4656339</v>
      </c>
      <c r="AH73" s="3"/>
      <c r="AI73" s="3" t="s">
        <v>405</v>
      </c>
    </row>
    <row r="74" spans="1:35">
      <c r="A74" s="16" t="s">
        <v>323</v>
      </c>
      <c r="B74" s="16"/>
      <c r="C74" s="16" t="s">
        <v>150</v>
      </c>
      <c r="E74" s="16">
        <v>46086</v>
      </c>
      <c r="G74" s="3">
        <v>4550409</v>
      </c>
      <c r="H74" s="3"/>
      <c r="I74" s="3">
        <v>6253252</v>
      </c>
      <c r="J74" s="3"/>
      <c r="K74" s="3">
        <v>0</v>
      </c>
      <c r="L74" s="3"/>
      <c r="M74" s="3">
        <f t="shared" si="2"/>
        <v>10803661</v>
      </c>
      <c r="N74" s="3"/>
      <c r="O74" s="3">
        <v>0</v>
      </c>
      <c r="P74" s="1"/>
      <c r="Q74" s="3">
        <v>1987096</v>
      </c>
      <c r="R74" s="3"/>
      <c r="S74" s="3">
        <v>16230</v>
      </c>
      <c r="T74" s="3"/>
      <c r="U74" s="3">
        <v>0</v>
      </c>
      <c r="V74" s="3"/>
      <c r="W74" s="3">
        <v>0</v>
      </c>
      <c r="X74" s="3"/>
      <c r="Y74" s="3">
        <v>840323</v>
      </c>
      <c r="Z74" s="36"/>
      <c r="AA74" s="3">
        <v>0</v>
      </c>
      <c r="AB74" s="3"/>
      <c r="AC74" s="3">
        <f t="shared" si="7"/>
        <v>2843649</v>
      </c>
      <c r="AD74" s="3"/>
      <c r="AE74" s="3">
        <v>0</v>
      </c>
      <c r="AF74" s="3"/>
      <c r="AG74" s="3">
        <f t="shared" si="6"/>
        <v>13647310</v>
      </c>
      <c r="AH74" s="3"/>
      <c r="AI74" s="3"/>
    </row>
    <row r="75" spans="1:35">
      <c r="A75" s="16" t="s">
        <v>324</v>
      </c>
      <c r="B75" s="16"/>
      <c r="C75" s="16" t="s">
        <v>155</v>
      </c>
      <c r="E75" s="16">
        <v>46227</v>
      </c>
      <c r="G75" s="3">
        <v>4109558</v>
      </c>
      <c r="H75" s="3"/>
      <c r="I75" s="3">
        <v>1109506</v>
      </c>
      <c r="J75" s="3"/>
      <c r="K75" s="3">
        <v>0</v>
      </c>
      <c r="L75" s="3"/>
      <c r="M75" s="3">
        <f t="shared" si="2"/>
        <v>5219064</v>
      </c>
      <c r="N75" s="3"/>
      <c r="O75" s="3">
        <v>0</v>
      </c>
      <c r="P75" s="1"/>
      <c r="Q75" s="3">
        <v>1077398</v>
      </c>
      <c r="R75" s="3"/>
      <c r="S75" s="3">
        <v>2480</v>
      </c>
      <c r="T75" s="3"/>
      <c r="U75" s="3">
        <v>0</v>
      </c>
      <c r="V75" s="3"/>
      <c r="W75" s="3">
        <v>0</v>
      </c>
      <c r="X75" s="3"/>
      <c r="Y75" s="3">
        <v>102821</v>
      </c>
      <c r="Z75" s="36"/>
      <c r="AA75" s="3">
        <v>0</v>
      </c>
      <c r="AB75" s="3"/>
      <c r="AC75" s="3">
        <f t="shared" si="7"/>
        <v>1182699</v>
      </c>
      <c r="AD75" s="3"/>
      <c r="AE75" s="3">
        <v>0</v>
      </c>
      <c r="AF75" s="3"/>
      <c r="AG75" s="3">
        <f t="shared" si="6"/>
        <v>6401763</v>
      </c>
      <c r="AH75" s="3"/>
      <c r="AI75" s="3"/>
    </row>
    <row r="76" spans="1:35">
      <c r="A76" s="3" t="s">
        <v>156</v>
      </c>
      <c r="B76" s="16"/>
      <c r="C76" s="16" t="s">
        <v>157</v>
      </c>
      <c r="E76" s="16">
        <v>46292</v>
      </c>
      <c r="G76" s="3">
        <v>17010964</v>
      </c>
      <c r="H76" s="3"/>
      <c r="I76" s="3">
        <v>1213855</v>
      </c>
      <c r="J76" s="3"/>
      <c r="K76" s="3">
        <v>0</v>
      </c>
      <c r="L76" s="3"/>
      <c r="M76" s="3">
        <f t="shared" si="2"/>
        <v>18224819</v>
      </c>
      <c r="N76" s="3"/>
      <c r="O76" s="3">
        <v>0</v>
      </c>
      <c r="P76" s="1"/>
      <c r="Q76" s="3">
        <v>1020840</v>
      </c>
      <c r="R76" s="3"/>
      <c r="S76" s="3">
        <v>11348</v>
      </c>
      <c r="T76" s="3"/>
      <c r="U76" s="3">
        <v>0</v>
      </c>
      <c r="V76" s="3"/>
      <c r="W76" s="3">
        <v>17278</v>
      </c>
      <c r="X76" s="3"/>
      <c r="Y76" s="3">
        <v>25070</v>
      </c>
      <c r="Z76" s="36"/>
      <c r="AA76" s="3">
        <v>0</v>
      </c>
      <c r="AB76" s="3"/>
      <c r="AC76" s="3">
        <f t="shared" si="7"/>
        <v>1074536</v>
      </c>
      <c r="AD76" s="3"/>
      <c r="AE76" s="3">
        <v>0</v>
      </c>
      <c r="AF76" s="3"/>
      <c r="AG76" s="3">
        <f t="shared" si="6"/>
        <v>19299355</v>
      </c>
      <c r="AH76" s="3"/>
      <c r="AI76" s="3" t="s">
        <v>425</v>
      </c>
    </row>
    <row r="77" spans="1:35" s="72" customFormat="1" hidden="1">
      <c r="A77" s="66" t="s">
        <v>294</v>
      </c>
      <c r="B77" s="66"/>
      <c r="C77" s="66" t="s">
        <v>158</v>
      </c>
      <c r="E77" s="66">
        <v>46375</v>
      </c>
      <c r="G77" s="65"/>
      <c r="H77" s="65"/>
      <c r="I77" s="65"/>
      <c r="J77" s="65"/>
      <c r="K77" s="65"/>
      <c r="L77" s="65"/>
      <c r="M77" s="65">
        <f t="shared" si="2"/>
        <v>0</v>
      </c>
      <c r="N77" s="65"/>
      <c r="O77" s="65"/>
      <c r="P77" s="75"/>
      <c r="Q77" s="65"/>
      <c r="R77" s="65"/>
      <c r="S77" s="65"/>
      <c r="T77" s="65"/>
      <c r="U77" s="65"/>
      <c r="V77" s="65"/>
      <c r="W77" s="65"/>
      <c r="X77" s="65"/>
      <c r="Y77" s="65"/>
      <c r="Z77" s="74"/>
      <c r="AA77" s="65"/>
      <c r="AB77" s="65"/>
      <c r="AC77" s="65">
        <f t="shared" si="7"/>
        <v>0</v>
      </c>
      <c r="AD77" s="65"/>
      <c r="AE77" s="65">
        <v>0</v>
      </c>
      <c r="AF77" s="65"/>
      <c r="AG77" s="65">
        <f t="shared" si="6"/>
        <v>0</v>
      </c>
      <c r="AH77" s="65"/>
      <c r="AI77" s="66" t="s">
        <v>314</v>
      </c>
    </row>
    <row r="78" spans="1:35">
      <c r="A78" s="16" t="s">
        <v>345</v>
      </c>
      <c r="B78" s="16"/>
      <c r="C78" s="16" t="s">
        <v>159</v>
      </c>
      <c r="E78" s="16">
        <v>46417</v>
      </c>
      <c r="G78" s="3">
        <v>8472027</v>
      </c>
      <c r="H78" s="3"/>
      <c r="I78" s="3">
        <v>1708630</v>
      </c>
      <c r="J78" s="3"/>
      <c r="K78" s="3">
        <v>0</v>
      </c>
      <c r="L78" s="3"/>
      <c r="M78" s="3">
        <f t="shared" si="2"/>
        <v>10180657</v>
      </c>
      <c r="N78" s="3"/>
      <c r="O78" s="3">
        <v>0</v>
      </c>
      <c r="P78" s="1"/>
      <c r="Q78" s="3">
        <v>459302</v>
      </c>
      <c r="R78" s="3"/>
      <c r="S78" s="3">
        <v>620</v>
      </c>
      <c r="T78" s="3"/>
      <c r="U78" s="3">
        <v>0</v>
      </c>
      <c r="V78" s="3"/>
      <c r="W78" s="3">
        <v>0</v>
      </c>
      <c r="X78" s="3"/>
      <c r="Y78" s="3">
        <v>22976</v>
      </c>
      <c r="Z78" s="36"/>
      <c r="AA78" s="3">
        <v>0</v>
      </c>
      <c r="AB78" s="3"/>
      <c r="AC78" s="3">
        <f t="shared" si="7"/>
        <v>482898</v>
      </c>
      <c r="AD78" s="3"/>
      <c r="AE78" s="3">
        <v>0</v>
      </c>
      <c r="AF78" s="3"/>
      <c r="AG78" s="3">
        <f t="shared" si="6"/>
        <v>10663555</v>
      </c>
      <c r="AH78" s="3"/>
      <c r="AI78" s="3"/>
    </row>
    <row r="79" spans="1:35">
      <c r="A79" s="3" t="s">
        <v>347</v>
      </c>
      <c r="B79" s="16"/>
      <c r="C79" s="16" t="s">
        <v>160</v>
      </c>
      <c r="E79" s="16">
        <v>46532</v>
      </c>
      <c r="G79" s="3">
        <v>47631053</v>
      </c>
      <c r="H79" s="3"/>
      <c r="I79" s="3">
        <v>13491303</v>
      </c>
      <c r="J79" s="3"/>
      <c r="K79" s="3">
        <v>0</v>
      </c>
      <c r="L79" s="3"/>
      <c r="M79" s="3">
        <f t="shared" si="2"/>
        <v>61122356</v>
      </c>
      <c r="N79" s="3"/>
      <c r="O79" s="3">
        <v>0</v>
      </c>
      <c r="P79" s="1"/>
      <c r="Q79" s="3">
        <v>5737453</v>
      </c>
      <c r="R79" s="3"/>
      <c r="S79" s="3">
        <v>69468</v>
      </c>
      <c r="T79" s="3"/>
      <c r="U79" s="3">
        <v>0</v>
      </c>
      <c r="V79" s="3"/>
      <c r="W79" s="3">
        <v>32794</v>
      </c>
      <c r="X79" s="3"/>
      <c r="Y79" s="3">
        <v>663808</v>
      </c>
      <c r="Z79" s="36"/>
      <c r="AA79" s="3">
        <v>0</v>
      </c>
      <c r="AB79" s="3"/>
      <c r="AC79" s="3">
        <f t="shared" si="7"/>
        <v>6503523</v>
      </c>
      <c r="AD79" s="3"/>
      <c r="AE79" s="3">
        <v>0</v>
      </c>
      <c r="AF79" s="3"/>
      <c r="AG79" s="3">
        <f t="shared" si="6"/>
        <v>67625879</v>
      </c>
      <c r="AH79" s="3"/>
      <c r="AI79" s="16" t="s">
        <v>315</v>
      </c>
    </row>
    <row r="80" spans="1:35" s="72" customFormat="1" hidden="1">
      <c r="A80" s="65" t="s">
        <v>376</v>
      </c>
      <c r="B80" s="66"/>
      <c r="C80" s="66" t="s">
        <v>161</v>
      </c>
      <c r="E80" s="66">
        <v>46615</v>
      </c>
      <c r="G80" s="65"/>
      <c r="H80" s="65"/>
      <c r="I80" s="65"/>
      <c r="J80" s="65"/>
      <c r="K80" s="65"/>
      <c r="L80" s="65"/>
      <c r="M80" s="65">
        <f t="shared" si="2"/>
        <v>0</v>
      </c>
      <c r="N80" s="65"/>
      <c r="O80" s="65"/>
      <c r="P80" s="75"/>
      <c r="Q80" s="65"/>
      <c r="R80" s="65"/>
      <c r="S80" s="65"/>
      <c r="T80" s="65"/>
      <c r="U80" s="65"/>
      <c r="V80" s="65"/>
      <c r="W80" s="65"/>
      <c r="X80" s="65"/>
      <c r="Y80" s="65"/>
      <c r="Z80" s="74"/>
      <c r="AA80" s="65"/>
      <c r="AB80" s="65"/>
      <c r="AC80" s="65">
        <f t="shared" si="7"/>
        <v>0</v>
      </c>
      <c r="AD80" s="65"/>
      <c r="AE80" s="65">
        <v>0</v>
      </c>
      <c r="AF80" s="65"/>
      <c r="AG80" s="65">
        <f t="shared" si="6"/>
        <v>0</v>
      </c>
      <c r="AH80" s="65"/>
      <c r="AI80" s="66" t="s">
        <v>377</v>
      </c>
    </row>
    <row r="81" spans="1:35" s="72" customFormat="1" hidden="1">
      <c r="A81" s="65" t="s">
        <v>346</v>
      </c>
      <c r="B81" s="66"/>
      <c r="C81" s="66" t="s">
        <v>162</v>
      </c>
      <c r="E81" s="66">
        <v>46730</v>
      </c>
      <c r="G81" s="65"/>
      <c r="H81" s="65"/>
      <c r="I81" s="65"/>
      <c r="J81" s="65"/>
      <c r="K81" s="65"/>
      <c r="L81" s="65"/>
      <c r="M81" s="65">
        <f t="shared" si="2"/>
        <v>0</v>
      </c>
      <c r="N81" s="65"/>
      <c r="O81" s="65"/>
      <c r="P81" s="75"/>
      <c r="Q81" s="65"/>
      <c r="R81" s="65"/>
      <c r="S81" s="65"/>
      <c r="T81" s="65"/>
      <c r="U81" s="65"/>
      <c r="V81" s="65"/>
      <c r="W81" s="65"/>
      <c r="X81" s="65"/>
      <c r="Y81" s="65"/>
      <c r="Z81" s="74"/>
      <c r="AA81" s="65"/>
      <c r="AB81" s="65"/>
      <c r="AC81" s="65">
        <f t="shared" si="7"/>
        <v>0</v>
      </c>
      <c r="AD81" s="65"/>
      <c r="AE81" s="65">
        <v>0</v>
      </c>
      <c r="AF81" s="65"/>
      <c r="AG81" s="65">
        <f t="shared" si="6"/>
        <v>0</v>
      </c>
      <c r="AH81" s="65"/>
      <c r="AI81" s="66" t="s">
        <v>316</v>
      </c>
    </row>
    <row r="82" spans="1:35">
      <c r="A82" s="3" t="s">
        <v>344</v>
      </c>
      <c r="B82" s="16"/>
      <c r="C82" s="3" t="s">
        <v>202</v>
      </c>
      <c r="E82" s="16"/>
      <c r="G82" s="3">
        <v>6901524</v>
      </c>
      <c r="H82" s="3"/>
      <c r="I82" s="3">
        <v>814977</v>
      </c>
      <c r="J82" s="3"/>
      <c r="K82" s="3">
        <v>0</v>
      </c>
      <c r="L82" s="3"/>
      <c r="M82" s="3">
        <f t="shared" si="2"/>
        <v>7716501</v>
      </c>
      <c r="N82" s="3"/>
      <c r="O82" s="3">
        <v>0</v>
      </c>
      <c r="P82" s="1"/>
      <c r="Q82" s="3">
        <v>1756698</v>
      </c>
      <c r="R82" s="3"/>
      <c r="S82" s="3">
        <v>3385</v>
      </c>
      <c r="T82" s="3"/>
      <c r="U82" s="3">
        <v>0</v>
      </c>
      <c r="V82" s="3"/>
      <c r="W82" s="3">
        <v>0</v>
      </c>
      <c r="X82" s="3"/>
      <c r="Y82" s="3">
        <v>0</v>
      </c>
      <c r="Z82" s="36"/>
      <c r="AA82" s="3">
        <v>0</v>
      </c>
      <c r="AB82" s="3"/>
      <c r="AC82" s="3">
        <f t="shared" si="7"/>
        <v>1760083</v>
      </c>
      <c r="AD82" s="3"/>
      <c r="AE82" s="3">
        <v>0</v>
      </c>
      <c r="AF82" s="3"/>
      <c r="AG82" s="3">
        <f t="shared" si="6"/>
        <v>9476584</v>
      </c>
      <c r="AH82" s="3"/>
      <c r="AI82" s="16" t="s">
        <v>317</v>
      </c>
    </row>
    <row r="83" spans="1:35">
      <c r="A83" s="3" t="s">
        <v>382</v>
      </c>
      <c r="B83" s="16"/>
      <c r="C83" s="16" t="s">
        <v>165</v>
      </c>
      <c r="E83" s="16">
        <v>46938</v>
      </c>
      <c r="G83" s="3">
        <v>49034121</v>
      </c>
      <c r="H83" s="3"/>
      <c r="I83" s="3">
        <v>7310226</v>
      </c>
      <c r="J83" s="3"/>
      <c r="K83" s="3">
        <v>0</v>
      </c>
      <c r="L83" s="3"/>
      <c r="M83" s="3">
        <f>SUM(G83:L83)</f>
        <v>56344347</v>
      </c>
      <c r="N83" s="3"/>
      <c r="O83" s="3">
        <v>0</v>
      </c>
      <c r="P83" s="1"/>
      <c r="Q83" s="3">
        <v>5673639</v>
      </c>
      <c r="R83" s="3"/>
      <c r="S83" s="3">
        <v>54051</v>
      </c>
      <c r="T83" s="3"/>
      <c r="U83" s="3">
        <v>0</v>
      </c>
      <c r="V83" s="3"/>
      <c r="W83" s="3">
        <v>0</v>
      </c>
      <c r="X83" s="3"/>
      <c r="Y83" s="3">
        <v>391996</v>
      </c>
      <c r="Z83" s="36"/>
      <c r="AA83" s="3">
        <v>0</v>
      </c>
      <c r="AB83" s="3"/>
      <c r="AC83" s="3">
        <f>SUM(P83:AA83)</f>
        <v>6119686</v>
      </c>
      <c r="AD83" s="3"/>
      <c r="AE83" s="3">
        <v>0</v>
      </c>
      <c r="AF83" s="3"/>
      <c r="AG83" s="3">
        <f>+AC83+M83+AE83</f>
        <v>62464033</v>
      </c>
      <c r="AH83" s="3"/>
      <c r="AI83" s="16" t="s">
        <v>319</v>
      </c>
    </row>
    <row r="84" spans="1:35" s="72" customFormat="1" hidden="1">
      <c r="A84" s="66" t="s">
        <v>292</v>
      </c>
      <c r="B84" s="66"/>
      <c r="C84" s="66" t="s">
        <v>163</v>
      </c>
      <c r="E84" s="66">
        <v>125690</v>
      </c>
      <c r="G84" s="65"/>
      <c r="H84" s="65"/>
      <c r="I84" s="65"/>
      <c r="J84" s="65"/>
      <c r="K84" s="65"/>
      <c r="L84" s="65"/>
      <c r="M84" s="65">
        <f t="shared" si="2"/>
        <v>0</v>
      </c>
      <c r="N84" s="65"/>
      <c r="O84" s="65"/>
      <c r="P84" s="75"/>
      <c r="Q84" s="65"/>
      <c r="R84" s="65"/>
      <c r="S84" s="65"/>
      <c r="T84" s="65"/>
      <c r="U84" s="65"/>
      <c r="V84" s="65"/>
      <c r="W84" s="65"/>
      <c r="X84" s="65"/>
      <c r="Y84" s="65"/>
      <c r="Z84" s="74"/>
      <c r="AA84" s="65"/>
      <c r="AB84" s="65"/>
      <c r="AC84" s="65">
        <f t="shared" si="7"/>
        <v>0</v>
      </c>
      <c r="AD84" s="65"/>
      <c r="AE84" s="65">
        <v>0</v>
      </c>
      <c r="AF84" s="65"/>
      <c r="AG84" s="65">
        <f t="shared" si="6"/>
        <v>0</v>
      </c>
      <c r="AH84" s="65"/>
      <c r="AI84" s="66" t="s">
        <v>318</v>
      </c>
    </row>
    <row r="85" spans="1:35">
      <c r="A85" s="3" t="s">
        <v>385</v>
      </c>
      <c r="B85" s="16"/>
      <c r="C85" s="16" t="s">
        <v>164</v>
      </c>
      <c r="E85" s="16">
        <v>46839</v>
      </c>
      <c r="G85" s="3">
        <v>4991726</v>
      </c>
      <c r="H85" s="3"/>
      <c r="I85" s="3">
        <v>852363</v>
      </c>
      <c r="J85" s="3"/>
      <c r="K85" s="3">
        <v>0</v>
      </c>
      <c r="L85" s="3"/>
      <c r="M85" s="3">
        <f t="shared" si="2"/>
        <v>5844089</v>
      </c>
      <c r="N85" s="3"/>
      <c r="O85" s="3">
        <v>0</v>
      </c>
      <c r="P85" s="1"/>
      <c r="Q85" s="3">
        <v>583837</v>
      </c>
      <c r="R85" s="3"/>
      <c r="S85" s="3">
        <v>2748</v>
      </c>
      <c r="T85" s="3"/>
      <c r="U85" s="3">
        <v>0</v>
      </c>
      <c r="V85" s="3"/>
      <c r="W85" s="3">
        <v>0</v>
      </c>
      <c r="X85" s="3"/>
      <c r="Y85" s="3">
        <f>1878737+8049</f>
        <v>1886786</v>
      </c>
      <c r="Z85" s="36"/>
      <c r="AA85" s="3">
        <v>0</v>
      </c>
      <c r="AB85" s="3"/>
      <c r="AC85" s="3">
        <f t="shared" si="7"/>
        <v>2473371</v>
      </c>
      <c r="AD85" s="3"/>
      <c r="AE85" s="3">
        <v>0</v>
      </c>
      <c r="AF85" s="3"/>
      <c r="AG85" s="3">
        <f t="shared" si="6"/>
        <v>8317460</v>
      </c>
      <c r="AH85" s="3"/>
      <c r="AI85" s="16"/>
    </row>
    <row r="86" spans="1:35">
      <c r="A86" s="3" t="s">
        <v>167</v>
      </c>
      <c r="B86" s="16"/>
      <c r="C86" s="16" t="s">
        <v>168</v>
      </c>
      <c r="E86" s="16">
        <v>125682</v>
      </c>
      <c r="G86" s="3">
        <v>1699202</v>
      </c>
      <c r="H86" s="3"/>
      <c r="I86" s="3">
        <v>2300947</v>
      </c>
      <c r="J86" s="3"/>
      <c r="K86" s="3">
        <v>0</v>
      </c>
      <c r="L86" s="3"/>
      <c r="M86" s="3">
        <f t="shared" si="2"/>
        <v>4000149</v>
      </c>
      <c r="N86" s="3"/>
      <c r="O86" s="3">
        <v>0</v>
      </c>
      <c r="P86" s="1"/>
      <c r="Q86" s="3">
        <v>178575</v>
      </c>
      <c r="R86" s="3"/>
      <c r="S86" s="3">
        <v>40517</v>
      </c>
      <c r="T86" s="3"/>
      <c r="U86" s="3">
        <v>0</v>
      </c>
      <c r="V86" s="3"/>
      <c r="W86" s="3">
        <v>0</v>
      </c>
      <c r="X86" s="3"/>
      <c r="Y86" s="3">
        <v>9432</v>
      </c>
      <c r="Z86" s="36"/>
      <c r="AA86" s="3">
        <v>0</v>
      </c>
      <c r="AB86" s="3"/>
      <c r="AC86" s="3">
        <f t="shared" si="7"/>
        <v>228524</v>
      </c>
      <c r="AD86" s="3"/>
      <c r="AE86" s="3">
        <v>0</v>
      </c>
      <c r="AF86" s="3"/>
      <c r="AG86" s="3">
        <f t="shared" si="6"/>
        <v>4228673</v>
      </c>
      <c r="AH86" s="3"/>
      <c r="AI86" s="3"/>
    </row>
    <row r="87" spans="1:35">
      <c r="A87" s="88" t="s">
        <v>384</v>
      </c>
      <c r="B87" s="16"/>
      <c r="C87" s="16" t="s">
        <v>169</v>
      </c>
      <c r="E87" s="16">
        <v>47159</v>
      </c>
      <c r="G87" s="3">
        <v>10041200</v>
      </c>
      <c r="H87" s="3"/>
      <c r="I87" s="3">
        <v>253817</v>
      </c>
      <c r="J87" s="3"/>
      <c r="K87" s="3">
        <v>0</v>
      </c>
      <c r="L87" s="3"/>
      <c r="M87" s="3">
        <f t="shared" si="2"/>
        <v>10295017</v>
      </c>
      <c r="N87" s="3"/>
      <c r="O87" s="3">
        <v>0</v>
      </c>
      <c r="P87" s="1"/>
      <c r="Q87" s="3">
        <v>895307</v>
      </c>
      <c r="R87" s="3"/>
      <c r="S87" s="3">
        <v>3555</v>
      </c>
      <c r="T87" s="3"/>
      <c r="U87" s="3">
        <v>0</v>
      </c>
      <c r="V87" s="3"/>
      <c r="W87" s="3">
        <v>36792</v>
      </c>
      <c r="X87" s="3"/>
      <c r="Y87" s="3">
        <v>0</v>
      </c>
      <c r="Z87" s="36"/>
      <c r="AA87" s="3">
        <v>0</v>
      </c>
      <c r="AB87" s="3"/>
      <c r="AC87" s="3">
        <f t="shared" si="7"/>
        <v>935654</v>
      </c>
      <c r="AD87" s="3"/>
      <c r="AE87" s="3">
        <v>0</v>
      </c>
      <c r="AF87" s="3"/>
      <c r="AG87" s="3">
        <f t="shared" si="6"/>
        <v>11230671</v>
      </c>
      <c r="AH87" s="3"/>
      <c r="AI87" s="89"/>
    </row>
    <row r="88" spans="1:35">
      <c r="A88" s="16" t="s">
        <v>328</v>
      </c>
      <c r="B88" s="16"/>
      <c r="C88" s="16" t="s">
        <v>170</v>
      </c>
      <c r="E88" s="16">
        <v>47233</v>
      </c>
      <c r="G88" s="3">
        <v>10894394</v>
      </c>
      <c r="H88" s="3"/>
      <c r="I88" s="3">
        <v>1542538</v>
      </c>
      <c r="J88" s="3"/>
      <c r="K88" s="3">
        <v>0</v>
      </c>
      <c r="L88" s="3"/>
      <c r="M88" s="3">
        <f t="shared" ref="M88:M130" si="8">SUM(G88:L88)</f>
        <v>12436932</v>
      </c>
      <c r="N88" s="3"/>
      <c r="O88" s="3">
        <v>0</v>
      </c>
      <c r="P88" s="1"/>
      <c r="Q88" s="3">
        <v>1428781</v>
      </c>
      <c r="R88" s="3"/>
      <c r="S88" s="3">
        <v>190</v>
      </c>
      <c r="T88" s="3"/>
      <c r="U88" s="3">
        <v>0</v>
      </c>
      <c r="V88" s="3"/>
      <c r="W88" s="3">
        <v>0</v>
      </c>
      <c r="X88" s="3"/>
      <c r="Y88" s="3">
        <v>179579</v>
      </c>
      <c r="Z88" s="36"/>
      <c r="AA88" s="3">
        <v>0</v>
      </c>
      <c r="AB88" s="3"/>
      <c r="AC88" s="3">
        <f t="shared" si="7"/>
        <v>1608550</v>
      </c>
      <c r="AD88" s="3"/>
      <c r="AE88" s="3">
        <v>0</v>
      </c>
      <c r="AF88" s="3"/>
      <c r="AG88" s="3">
        <f t="shared" si="6"/>
        <v>14045482</v>
      </c>
      <c r="AH88" s="3"/>
      <c r="AI88" s="3"/>
    </row>
    <row r="89" spans="1:35">
      <c r="A89" s="16" t="s">
        <v>329</v>
      </c>
      <c r="B89" s="16"/>
      <c r="C89" s="16" t="s">
        <v>171</v>
      </c>
      <c r="E89" s="16">
        <v>47324</v>
      </c>
      <c r="G89" s="3">
        <v>28621189</v>
      </c>
      <c r="H89" s="3"/>
      <c r="I89" s="3">
        <v>8402038</v>
      </c>
      <c r="J89" s="3"/>
      <c r="K89" s="3">
        <v>0</v>
      </c>
      <c r="L89" s="3"/>
      <c r="M89" s="3">
        <f t="shared" si="8"/>
        <v>37023227</v>
      </c>
      <c r="N89" s="3"/>
      <c r="O89" s="3">
        <v>0</v>
      </c>
      <c r="P89" s="1"/>
      <c r="Q89" s="3">
        <v>3826074</v>
      </c>
      <c r="R89" s="3"/>
      <c r="S89" s="3">
        <v>76640</v>
      </c>
      <c r="T89" s="3"/>
      <c r="U89" s="3">
        <v>0</v>
      </c>
      <c r="V89" s="3"/>
      <c r="W89" s="3">
        <v>2500</v>
      </c>
      <c r="X89" s="3"/>
      <c r="Y89" s="3">
        <v>97677</v>
      </c>
      <c r="Z89" s="36"/>
      <c r="AA89" s="3">
        <v>0</v>
      </c>
      <c r="AB89" s="3"/>
      <c r="AC89" s="3">
        <f t="shared" si="7"/>
        <v>4002891</v>
      </c>
      <c r="AD89" s="3"/>
      <c r="AE89" s="3">
        <v>0</v>
      </c>
      <c r="AF89" s="3"/>
      <c r="AG89" s="3">
        <f t="shared" si="6"/>
        <v>41026118</v>
      </c>
      <c r="AH89" s="3"/>
      <c r="AI89" s="3"/>
    </row>
    <row r="90" spans="1:35">
      <c r="A90" s="16" t="s">
        <v>330</v>
      </c>
      <c r="B90" s="16"/>
      <c r="C90" s="16" t="s">
        <v>172</v>
      </c>
      <c r="E90" s="16">
        <v>47407</v>
      </c>
      <c r="G90" s="3">
        <v>4370269</v>
      </c>
      <c r="H90" s="3"/>
      <c r="I90" s="3">
        <v>596647</v>
      </c>
      <c r="J90" s="3"/>
      <c r="K90" s="3">
        <v>0</v>
      </c>
      <c r="L90" s="3"/>
      <c r="M90" s="3">
        <f t="shared" si="8"/>
        <v>4966916</v>
      </c>
      <c r="N90" s="3"/>
      <c r="O90" s="3">
        <v>0</v>
      </c>
      <c r="P90" s="1"/>
      <c r="Q90" s="3">
        <v>356936</v>
      </c>
      <c r="R90" s="3"/>
      <c r="S90" s="3">
        <v>5130</v>
      </c>
      <c r="T90" s="3"/>
      <c r="U90" s="3">
        <v>0</v>
      </c>
      <c r="V90" s="3"/>
      <c r="W90" s="3">
        <v>0</v>
      </c>
      <c r="X90" s="3"/>
      <c r="Y90" s="3">
        <v>35614</v>
      </c>
      <c r="Z90" s="36"/>
      <c r="AA90" s="3">
        <v>0</v>
      </c>
      <c r="AB90" s="3"/>
      <c r="AC90" s="3">
        <f t="shared" si="7"/>
        <v>397680</v>
      </c>
      <c r="AD90" s="3"/>
      <c r="AE90" s="3">
        <v>0</v>
      </c>
      <c r="AF90" s="3"/>
      <c r="AG90" s="3">
        <f t="shared" si="6"/>
        <v>5364596</v>
      </c>
      <c r="AH90" s="3"/>
      <c r="AI90" s="3"/>
    </row>
    <row r="91" spans="1:35">
      <c r="A91" s="16" t="s">
        <v>331</v>
      </c>
      <c r="B91" s="16"/>
      <c r="C91" s="16" t="s">
        <v>21</v>
      </c>
      <c r="E91" s="16">
        <v>47480</v>
      </c>
      <c r="G91" s="3">
        <v>1574926</v>
      </c>
      <c r="H91" s="3"/>
      <c r="I91" s="3">
        <v>492258</v>
      </c>
      <c r="J91" s="3"/>
      <c r="K91" s="3">
        <v>0</v>
      </c>
      <c r="L91" s="3"/>
      <c r="M91" s="3">
        <f t="shared" si="8"/>
        <v>2067184</v>
      </c>
      <c r="N91" s="3"/>
      <c r="O91" s="3">
        <v>0</v>
      </c>
      <c r="P91" s="1"/>
      <c r="Q91" s="3">
        <v>507598</v>
      </c>
      <c r="R91" s="3"/>
      <c r="S91" s="3">
        <v>979</v>
      </c>
      <c r="T91" s="3"/>
      <c r="U91" s="3">
        <v>0</v>
      </c>
      <c r="V91" s="3"/>
      <c r="W91" s="3">
        <v>0</v>
      </c>
      <c r="X91" s="3"/>
      <c r="Y91" s="3">
        <v>126722</v>
      </c>
      <c r="Z91" s="36"/>
      <c r="AA91" s="3">
        <v>0</v>
      </c>
      <c r="AB91" s="3"/>
      <c r="AC91" s="3">
        <f t="shared" si="7"/>
        <v>635299</v>
      </c>
      <c r="AD91" s="3"/>
      <c r="AE91" s="3">
        <v>0</v>
      </c>
      <c r="AF91" s="3"/>
      <c r="AG91" s="3">
        <f t="shared" si="6"/>
        <v>2702483</v>
      </c>
      <c r="AH91" s="3"/>
      <c r="AI91" s="3"/>
    </row>
    <row r="92" spans="1:35">
      <c r="A92" s="16" t="s">
        <v>332</v>
      </c>
      <c r="B92" s="16"/>
      <c r="C92" s="16" t="s">
        <v>173</v>
      </c>
      <c r="E92" s="16">
        <v>47779</v>
      </c>
      <c r="G92" s="3">
        <v>5748688</v>
      </c>
      <c r="H92" s="3"/>
      <c r="I92" s="3">
        <v>209875</v>
      </c>
      <c r="J92" s="3"/>
      <c r="K92" s="3">
        <v>0</v>
      </c>
      <c r="L92" s="3"/>
      <c r="M92" s="3">
        <f t="shared" si="8"/>
        <v>5958563</v>
      </c>
      <c r="N92" s="3"/>
      <c r="O92" s="3">
        <v>0</v>
      </c>
      <c r="P92" s="1"/>
      <c r="Q92" s="3">
        <v>773204</v>
      </c>
      <c r="R92" s="3"/>
      <c r="S92" s="3">
        <v>18963</v>
      </c>
      <c r="T92" s="3"/>
      <c r="U92" s="3">
        <v>0</v>
      </c>
      <c r="V92" s="3"/>
      <c r="W92" s="3">
        <v>0</v>
      </c>
      <c r="X92" s="3"/>
      <c r="Y92" s="3">
        <v>0</v>
      </c>
      <c r="Z92" s="36"/>
      <c r="AA92" s="3">
        <v>0</v>
      </c>
      <c r="AB92" s="3"/>
      <c r="AC92" s="3">
        <f t="shared" si="7"/>
        <v>792167</v>
      </c>
      <c r="AD92" s="3"/>
      <c r="AE92" s="3">
        <v>0</v>
      </c>
      <c r="AF92" s="3"/>
      <c r="AG92" s="3">
        <f t="shared" si="6"/>
        <v>6750730</v>
      </c>
      <c r="AH92" s="3"/>
      <c r="AI92" s="3"/>
    </row>
    <row r="93" spans="1:35">
      <c r="A93" s="16" t="s">
        <v>333</v>
      </c>
      <c r="B93" s="16"/>
      <c r="C93" s="16" t="s">
        <v>174</v>
      </c>
      <c r="E93" s="16">
        <v>47811</v>
      </c>
      <c r="G93" s="3">
        <v>4712380</v>
      </c>
      <c r="H93" s="3"/>
      <c r="I93" s="3">
        <v>1098709</v>
      </c>
      <c r="J93" s="3"/>
      <c r="K93" s="3">
        <v>0</v>
      </c>
      <c r="L93" s="3"/>
      <c r="M93" s="3">
        <f t="shared" si="8"/>
        <v>5811089</v>
      </c>
      <c r="N93" s="3"/>
      <c r="O93" s="3">
        <v>0</v>
      </c>
      <c r="P93" s="1"/>
      <c r="Q93" s="3">
        <v>278015</v>
      </c>
      <c r="R93" s="3"/>
      <c r="S93" s="3">
        <v>4698</v>
      </c>
      <c r="T93" s="3"/>
      <c r="U93" s="3">
        <v>0</v>
      </c>
      <c r="V93" s="3"/>
      <c r="W93" s="3">
        <v>0</v>
      </c>
      <c r="X93" s="3"/>
      <c r="Y93" s="3">
        <v>337</v>
      </c>
      <c r="Z93" s="36"/>
      <c r="AA93" s="3">
        <v>0</v>
      </c>
      <c r="AB93" s="3"/>
      <c r="AC93" s="3">
        <f t="shared" si="7"/>
        <v>283050</v>
      </c>
      <c r="AD93" s="3"/>
      <c r="AE93" s="3">
        <v>0</v>
      </c>
      <c r="AF93" s="3"/>
      <c r="AG93" s="3">
        <f t="shared" si="6"/>
        <v>6094139</v>
      </c>
      <c r="AH93" s="3"/>
      <c r="AI93" s="3"/>
    </row>
    <row r="94" spans="1:35">
      <c r="A94" s="16" t="s">
        <v>334</v>
      </c>
      <c r="B94" s="16"/>
      <c r="C94" s="16" t="s">
        <v>149</v>
      </c>
      <c r="E94" s="16">
        <v>47860</v>
      </c>
      <c r="G94" s="3">
        <v>8731650</v>
      </c>
      <c r="H94" s="3"/>
      <c r="I94" s="3">
        <v>3216350</v>
      </c>
      <c r="J94" s="3"/>
      <c r="K94" s="3">
        <v>0</v>
      </c>
      <c r="L94" s="3"/>
      <c r="M94" s="3">
        <f t="shared" si="8"/>
        <v>11948000</v>
      </c>
      <c r="N94" s="3"/>
      <c r="O94" s="3">
        <v>5155650</v>
      </c>
      <c r="P94" s="1"/>
      <c r="Q94" s="3">
        <v>2130442</v>
      </c>
      <c r="R94" s="3"/>
      <c r="S94" s="3">
        <v>72</v>
      </c>
      <c r="T94" s="3"/>
      <c r="U94" s="3">
        <v>0</v>
      </c>
      <c r="V94" s="3"/>
      <c r="W94" s="3">
        <v>1537</v>
      </c>
      <c r="X94" s="3"/>
      <c r="Y94" s="3">
        <v>163468</v>
      </c>
      <c r="Z94" s="36"/>
      <c r="AA94" s="3">
        <v>0</v>
      </c>
      <c r="AB94" s="3"/>
      <c r="AC94" s="3">
        <f t="shared" si="7"/>
        <v>7451169</v>
      </c>
      <c r="AD94" s="3"/>
      <c r="AE94" s="3">
        <v>0</v>
      </c>
      <c r="AF94" s="3"/>
      <c r="AG94" s="3">
        <f t="shared" si="6"/>
        <v>19399169</v>
      </c>
      <c r="AH94" s="3"/>
      <c r="AI94" s="16" t="s">
        <v>387</v>
      </c>
    </row>
    <row r="95" spans="1:35">
      <c r="A95" s="16" t="s">
        <v>335</v>
      </c>
      <c r="B95" s="16"/>
      <c r="C95" s="16" t="s">
        <v>175</v>
      </c>
      <c r="E95" s="16">
        <v>47910</v>
      </c>
      <c r="G95" s="3">
        <v>1356809</v>
      </c>
      <c r="H95" s="3"/>
      <c r="I95" s="3">
        <v>163936</v>
      </c>
      <c r="J95" s="3"/>
      <c r="K95" s="3">
        <v>0</v>
      </c>
      <c r="L95" s="3"/>
      <c r="M95" s="3">
        <f t="shared" si="8"/>
        <v>1520745</v>
      </c>
      <c r="N95" s="3"/>
      <c r="O95" s="3">
        <v>0</v>
      </c>
      <c r="P95" s="1"/>
      <c r="Q95" s="3">
        <v>310765</v>
      </c>
      <c r="R95" s="3"/>
      <c r="S95" s="3">
        <v>0</v>
      </c>
      <c r="T95" s="3"/>
      <c r="U95" s="3">
        <v>0</v>
      </c>
      <c r="V95" s="3"/>
      <c r="W95" s="3">
        <v>0</v>
      </c>
      <c r="X95" s="3"/>
      <c r="Y95" s="3">
        <v>45289</v>
      </c>
      <c r="Z95" s="36"/>
      <c r="AA95" s="3">
        <v>0</v>
      </c>
      <c r="AB95" s="3"/>
      <c r="AC95" s="3">
        <f t="shared" si="7"/>
        <v>356054</v>
      </c>
      <c r="AD95" s="3"/>
      <c r="AE95" s="3">
        <v>0</v>
      </c>
      <c r="AF95" s="3"/>
      <c r="AG95" s="3">
        <f t="shared" si="6"/>
        <v>1876799</v>
      </c>
      <c r="AH95" s="3"/>
      <c r="AI95" s="90" t="s">
        <v>320</v>
      </c>
    </row>
    <row r="96" spans="1:35">
      <c r="A96" s="3" t="s">
        <v>336</v>
      </c>
      <c r="B96" s="3"/>
      <c r="C96" s="3" t="s">
        <v>176</v>
      </c>
      <c r="E96" s="16"/>
      <c r="G96" s="3">
        <v>8738815</v>
      </c>
      <c r="H96" s="3"/>
      <c r="I96" s="3">
        <v>1671675</v>
      </c>
      <c r="J96" s="3"/>
      <c r="K96" s="3">
        <v>0</v>
      </c>
      <c r="L96" s="3"/>
      <c r="M96" s="3">
        <f>SUM(G96:L96)</f>
        <v>10410490</v>
      </c>
      <c r="N96" s="3"/>
      <c r="O96" s="3">
        <v>0</v>
      </c>
      <c r="P96" s="1"/>
      <c r="Q96" s="3">
        <v>539857</v>
      </c>
      <c r="R96" s="3"/>
      <c r="S96" s="3">
        <v>2009</v>
      </c>
      <c r="T96" s="3"/>
      <c r="U96" s="3">
        <v>0</v>
      </c>
      <c r="V96" s="3"/>
      <c r="W96" s="3">
        <v>0</v>
      </c>
      <c r="X96" s="3"/>
      <c r="Y96" s="3">
        <v>1741</v>
      </c>
      <c r="Z96" s="36"/>
      <c r="AA96" s="3">
        <v>0</v>
      </c>
      <c r="AB96" s="3"/>
      <c r="AC96" s="3">
        <f t="shared" si="7"/>
        <v>543607</v>
      </c>
      <c r="AD96" s="3"/>
      <c r="AE96" s="3">
        <v>0</v>
      </c>
      <c r="AF96" s="3"/>
      <c r="AG96" s="3">
        <f t="shared" si="6"/>
        <v>10954097</v>
      </c>
      <c r="AH96" s="3"/>
      <c r="AI96" s="3"/>
    </row>
    <row r="97" spans="1:35">
      <c r="A97" s="16" t="s">
        <v>337</v>
      </c>
      <c r="B97" s="16"/>
      <c r="C97" s="16" t="s">
        <v>177</v>
      </c>
      <c r="E97" s="16">
        <v>48058</v>
      </c>
      <c r="G97" s="3">
        <v>3252512</v>
      </c>
      <c r="H97" s="3"/>
      <c r="I97" s="3">
        <v>56371</v>
      </c>
      <c r="J97" s="3"/>
      <c r="K97" s="3">
        <v>0</v>
      </c>
      <c r="L97" s="3"/>
      <c r="M97" s="3">
        <f t="shared" si="8"/>
        <v>3308883</v>
      </c>
      <c r="N97" s="3"/>
      <c r="O97" s="3">
        <v>0</v>
      </c>
      <c r="P97" s="1"/>
      <c r="Q97" s="3">
        <v>240137</v>
      </c>
      <c r="R97" s="3"/>
      <c r="S97" s="3">
        <v>397</v>
      </c>
      <c r="T97" s="3"/>
      <c r="U97" s="3">
        <v>0</v>
      </c>
      <c r="V97" s="3"/>
      <c r="W97" s="3">
        <v>20290</v>
      </c>
      <c r="X97" s="3"/>
      <c r="Y97" s="3">
        <v>68534</v>
      </c>
      <c r="Z97" s="36"/>
      <c r="AA97" s="3">
        <v>0</v>
      </c>
      <c r="AB97" s="3"/>
      <c r="AC97" s="3">
        <f t="shared" si="7"/>
        <v>329358</v>
      </c>
      <c r="AD97" s="3"/>
      <c r="AE97" s="3">
        <v>0</v>
      </c>
      <c r="AF97" s="3"/>
      <c r="AG97" s="3">
        <f t="shared" si="6"/>
        <v>3638241</v>
      </c>
      <c r="AH97" s="3"/>
      <c r="AI97" s="90" t="s">
        <v>320</v>
      </c>
    </row>
    <row r="98" spans="1:35">
      <c r="A98" s="16" t="s">
        <v>338</v>
      </c>
      <c r="B98" s="16"/>
      <c r="C98" s="16" t="s">
        <v>145</v>
      </c>
      <c r="E98" s="16">
        <v>48108</v>
      </c>
      <c r="G98" s="3">
        <v>5966801</v>
      </c>
      <c r="H98" s="3"/>
      <c r="I98" s="3">
        <v>1933469</v>
      </c>
      <c r="J98" s="3"/>
      <c r="K98" s="3">
        <v>0</v>
      </c>
      <c r="L98" s="3"/>
      <c r="M98" s="3">
        <f t="shared" si="8"/>
        <v>7900270</v>
      </c>
      <c r="N98" s="3"/>
      <c r="O98" s="3">
        <v>0</v>
      </c>
      <c r="P98" s="1"/>
      <c r="Q98" s="3">
        <v>2513079</v>
      </c>
      <c r="R98" s="3"/>
      <c r="S98" s="3">
        <v>61484</v>
      </c>
      <c r="T98" s="3"/>
      <c r="U98" s="3">
        <v>0</v>
      </c>
      <c r="V98" s="3"/>
      <c r="W98" s="3">
        <v>0</v>
      </c>
      <c r="X98" s="3"/>
      <c r="Y98" s="3">
        <v>30759</v>
      </c>
      <c r="Z98" s="36"/>
      <c r="AA98" s="3">
        <v>0</v>
      </c>
      <c r="AB98" s="3"/>
      <c r="AC98" s="3">
        <f t="shared" si="7"/>
        <v>2605322</v>
      </c>
      <c r="AD98" s="3"/>
      <c r="AE98" s="3">
        <v>0</v>
      </c>
      <c r="AF98" s="3"/>
      <c r="AG98" s="3">
        <f t="shared" si="6"/>
        <v>10505592</v>
      </c>
      <c r="AH98" s="3"/>
      <c r="AI98" s="16" t="s">
        <v>388</v>
      </c>
    </row>
    <row r="99" spans="1:35">
      <c r="A99" s="16" t="s">
        <v>339</v>
      </c>
      <c r="B99" s="16"/>
      <c r="C99" s="16" t="s">
        <v>178</v>
      </c>
      <c r="E99" s="16">
        <v>48199</v>
      </c>
      <c r="G99" s="3">
        <v>17044697</v>
      </c>
      <c r="H99" s="3"/>
      <c r="I99" s="3">
        <v>5016644</v>
      </c>
      <c r="J99" s="3"/>
      <c r="K99" s="3">
        <v>0</v>
      </c>
      <c r="L99" s="3"/>
      <c r="M99" s="3">
        <f t="shared" si="8"/>
        <v>22061341</v>
      </c>
      <c r="N99" s="3"/>
      <c r="O99" s="3">
        <v>0</v>
      </c>
      <c r="P99" s="1"/>
      <c r="Q99" s="3">
        <v>2791559</v>
      </c>
      <c r="R99" s="3"/>
      <c r="S99" s="3">
        <v>31356</v>
      </c>
      <c r="T99" s="3"/>
      <c r="U99" s="3">
        <v>0</v>
      </c>
      <c r="V99" s="3"/>
      <c r="W99" s="3">
        <v>0</v>
      </c>
      <c r="X99" s="3"/>
      <c r="Y99" s="3">
        <v>138668</v>
      </c>
      <c r="Z99" s="36"/>
      <c r="AA99" s="3">
        <v>0</v>
      </c>
      <c r="AB99" s="3"/>
      <c r="AC99" s="3">
        <f t="shared" si="7"/>
        <v>2961583</v>
      </c>
      <c r="AD99" s="3"/>
      <c r="AE99" s="3">
        <v>0</v>
      </c>
      <c r="AF99" s="3"/>
      <c r="AG99" s="3">
        <f t="shared" si="6"/>
        <v>25022924</v>
      </c>
      <c r="AH99" s="3"/>
      <c r="AI99" s="3"/>
    </row>
    <row r="100" spans="1:35" s="72" customFormat="1" hidden="1">
      <c r="A100" s="65" t="s">
        <v>391</v>
      </c>
      <c r="B100" s="66"/>
      <c r="C100" s="66" t="s">
        <v>154</v>
      </c>
      <c r="E100" s="66">
        <v>137364</v>
      </c>
      <c r="G100" s="65"/>
      <c r="H100" s="65"/>
      <c r="I100" s="65"/>
      <c r="J100" s="65"/>
      <c r="K100" s="65"/>
      <c r="L100" s="65"/>
      <c r="M100" s="65">
        <f t="shared" si="8"/>
        <v>0</v>
      </c>
      <c r="N100" s="65"/>
      <c r="O100" s="65"/>
      <c r="P100" s="75"/>
      <c r="Q100" s="65"/>
      <c r="R100" s="65"/>
      <c r="S100" s="65"/>
      <c r="T100" s="65"/>
      <c r="U100" s="65"/>
      <c r="V100" s="65"/>
      <c r="W100" s="65"/>
      <c r="X100" s="65"/>
      <c r="Y100" s="65"/>
      <c r="Z100" s="74"/>
      <c r="AA100" s="65"/>
      <c r="AB100" s="65"/>
      <c r="AC100" s="65">
        <f t="shared" si="7"/>
        <v>0</v>
      </c>
      <c r="AD100" s="65"/>
      <c r="AE100" s="65">
        <v>0</v>
      </c>
      <c r="AF100" s="65"/>
      <c r="AG100" s="65">
        <f t="shared" si="6"/>
        <v>0</v>
      </c>
      <c r="AH100" s="65"/>
      <c r="AI100" s="65" t="s">
        <v>390</v>
      </c>
    </row>
    <row r="101" spans="1:35">
      <c r="A101" s="3" t="s">
        <v>392</v>
      </c>
      <c r="B101" s="16"/>
      <c r="C101" s="16" t="s">
        <v>179</v>
      </c>
      <c r="E101" s="16">
        <v>48280</v>
      </c>
      <c r="G101" s="3">
        <v>15949063</v>
      </c>
      <c r="H101" s="3"/>
      <c r="I101" s="3">
        <v>5692893</v>
      </c>
      <c r="J101" s="3"/>
      <c r="K101" s="3">
        <v>0</v>
      </c>
      <c r="L101" s="3"/>
      <c r="M101" s="3">
        <f t="shared" si="8"/>
        <v>21641956</v>
      </c>
      <c r="N101" s="3"/>
      <c r="O101" s="3">
        <v>0</v>
      </c>
      <c r="P101" s="1"/>
      <c r="Q101" s="3">
        <v>2027194</v>
      </c>
      <c r="R101" s="3"/>
      <c r="S101" s="3">
        <v>24880</v>
      </c>
      <c r="T101" s="3"/>
      <c r="U101" s="3">
        <v>0</v>
      </c>
      <c r="V101" s="3"/>
      <c r="W101" s="3">
        <v>0</v>
      </c>
      <c r="X101" s="3"/>
      <c r="Y101" s="3">
        <v>47701</v>
      </c>
      <c r="Z101" s="36"/>
      <c r="AA101" s="3">
        <v>0</v>
      </c>
      <c r="AB101" s="3"/>
      <c r="AC101" s="3">
        <f t="shared" si="7"/>
        <v>2099775</v>
      </c>
      <c r="AD101" s="3"/>
      <c r="AE101" s="3">
        <v>0</v>
      </c>
      <c r="AF101" s="3"/>
      <c r="AG101" s="3">
        <f t="shared" ref="AG101:AG130" si="9">+AC101+M101</f>
        <v>23741731</v>
      </c>
      <c r="AH101" s="3"/>
      <c r="AI101" s="3"/>
    </row>
    <row r="102" spans="1:35">
      <c r="A102" s="3" t="s">
        <v>180</v>
      </c>
      <c r="B102" s="16"/>
      <c r="C102" s="16" t="s">
        <v>181</v>
      </c>
      <c r="E102" s="16">
        <v>48454</v>
      </c>
      <c r="G102" s="3">
        <v>5193901</v>
      </c>
      <c r="H102" s="3"/>
      <c r="I102" s="3">
        <v>151293</v>
      </c>
      <c r="J102" s="3"/>
      <c r="K102" s="3">
        <v>0</v>
      </c>
      <c r="L102" s="3"/>
      <c r="M102" s="3">
        <f t="shared" si="8"/>
        <v>5345194</v>
      </c>
      <c r="N102" s="3"/>
      <c r="O102" s="3">
        <v>0</v>
      </c>
      <c r="P102" s="1"/>
      <c r="Q102" s="3">
        <v>1582792</v>
      </c>
      <c r="R102" s="3"/>
      <c r="S102" s="3">
        <v>21803</v>
      </c>
      <c r="T102" s="3"/>
      <c r="U102" s="3">
        <v>0</v>
      </c>
      <c r="V102" s="3"/>
      <c r="W102" s="3">
        <v>0</v>
      </c>
      <c r="X102" s="3"/>
      <c r="Y102" s="3">
        <v>5375</v>
      </c>
      <c r="Z102" s="36"/>
      <c r="AA102" s="3">
        <v>0</v>
      </c>
      <c r="AB102" s="3"/>
      <c r="AC102" s="3">
        <f t="shared" si="7"/>
        <v>1609970</v>
      </c>
      <c r="AD102" s="3"/>
      <c r="AE102" s="3">
        <v>0</v>
      </c>
      <c r="AF102" s="3"/>
      <c r="AG102" s="3">
        <f t="shared" si="9"/>
        <v>6955164</v>
      </c>
      <c r="AH102" s="3"/>
      <c r="AI102" s="3"/>
    </row>
    <row r="103" spans="1:35" s="72" customFormat="1" hidden="1">
      <c r="A103" s="65" t="s">
        <v>394</v>
      </c>
      <c r="B103" s="66"/>
      <c r="C103" s="66" t="s">
        <v>182</v>
      </c>
      <c r="E103" s="66">
        <v>48546</v>
      </c>
      <c r="G103" s="65"/>
      <c r="H103" s="65"/>
      <c r="I103" s="65"/>
      <c r="J103" s="65"/>
      <c r="K103" s="65"/>
      <c r="L103" s="65"/>
      <c r="M103" s="65">
        <f t="shared" si="8"/>
        <v>0</v>
      </c>
      <c r="N103" s="65"/>
      <c r="O103" s="65"/>
      <c r="P103" s="75"/>
      <c r="Q103" s="65"/>
      <c r="R103" s="65"/>
      <c r="S103" s="65"/>
      <c r="T103" s="65"/>
      <c r="U103" s="65"/>
      <c r="V103" s="65"/>
      <c r="W103" s="65"/>
      <c r="X103" s="65"/>
      <c r="Y103" s="65"/>
      <c r="Z103" s="74"/>
      <c r="AA103" s="65"/>
      <c r="AB103" s="65"/>
      <c r="AC103" s="65">
        <f t="shared" si="7"/>
        <v>0</v>
      </c>
      <c r="AD103" s="65"/>
      <c r="AE103" s="65">
        <v>0</v>
      </c>
      <c r="AF103" s="65"/>
      <c r="AG103" s="65">
        <f t="shared" si="9"/>
        <v>0</v>
      </c>
      <c r="AH103" s="65"/>
      <c r="AI103" s="80" t="s">
        <v>393</v>
      </c>
    </row>
    <row r="104" spans="1:35">
      <c r="A104" s="3" t="s">
        <v>395</v>
      </c>
      <c r="B104" s="16"/>
      <c r="C104" s="16" t="s">
        <v>183</v>
      </c>
      <c r="E104" s="16">
        <v>48603</v>
      </c>
      <c r="G104" s="3">
        <v>10246839</v>
      </c>
      <c r="H104" s="3"/>
      <c r="I104" s="3">
        <v>885496</v>
      </c>
      <c r="J104" s="3"/>
      <c r="K104" s="3">
        <v>0</v>
      </c>
      <c r="L104" s="3"/>
      <c r="M104" s="3">
        <f t="shared" si="8"/>
        <v>11132335</v>
      </c>
      <c r="N104" s="3"/>
      <c r="O104" s="3">
        <v>0</v>
      </c>
      <c r="P104" s="1"/>
      <c r="Q104" s="3">
        <v>548733</v>
      </c>
      <c r="R104" s="3"/>
      <c r="S104" s="3">
        <v>6291</v>
      </c>
      <c r="T104" s="3"/>
      <c r="U104" s="3">
        <v>0</v>
      </c>
      <c r="V104" s="3"/>
      <c r="W104" s="3">
        <v>800</v>
      </c>
      <c r="X104" s="3"/>
      <c r="Y104" s="3">
        <v>69619</v>
      </c>
      <c r="Z104" s="36"/>
      <c r="AA104" s="3">
        <v>0</v>
      </c>
      <c r="AB104" s="3"/>
      <c r="AC104" s="3">
        <f t="shared" si="7"/>
        <v>625443</v>
      </c>
      <c r="AD104" s="3"/>
      <c r="AE104" s="3">
        <v>0</v>
      </c>
      <c r="AF104" s="3"/>
      <c r="AG104" s="3">
        <f t="shared" si="9"/>
        <v>11757778</v>
      </c>
      <c r="AH104" s="3"/>
      <c r="AI104" s="3"/>
    </row>
    <row r="105" spans="1:35" s="72" customFormat="1" hidden="1">
      <c r="A105" s="65" t="s">
        <v>293</v>
      </c>
      <c r="B105" s="65"/>
      <c r="C105" s="65" t="s">
        <v>193</v>
      </c>
      <c r="E105" s="66"/>
      <c r="G105" s="65"/>
      <c r="H105" s="65"/>
      <c r="I105" s="65"/>
      <c r="J105" s="65"/>
      <c r="K105" s="65"/>
      <c r="L105" s="65"/>
      <c r="M105" s="65">
        <f>SUM(G105:L105)</f>
        <v>0</v>
      </c>
      <c r="N105" s="65"/>
      <c r="O105" s="65"/>
      <c r="P105" s="75"/>
      <c r="Q105" s="65"/>
      <c r="R105" s="65"/>
      <c r="S105" s="65"/>
      <c r="T105" s="65"/>
      <c r="U105" s="65"/>
      <c r="V105" s="65"/>
      <c r="W105" s="65"/>
      <c r="X105" s="65"/>
      <c r="Y105" s="65"/>
      <c r="Z105" s="74"/>
      <c r="AA105" s="65"/>
      <c r="AB105" s="65"/>
      <c r="AC105" s="65">
        <f t="shared" si="7"/>
        <v>0</v>
      </c>
      <c r="AD105" s="65"/>
      <c r="AE105" s="65">
        <v>0</v>
      </c>
      <c r="AF105" s="65"/>
      <c r="AG105" s="65">
        <f t="shared" si="9"/>
        <v>0</v>
      </c>
      <c r="AH105" s="65"/>
      <c r="AI105" s="80" t="s">
        <v>393</v>
      </c>
    </row>
    <row r="106" spans="1:35">
      <c r="A106" s="3" t="s">
        <v>398</v>
      </c>
      <c r="B106" s="16"/>
      <c r="C106" s="16" t="s">
        <v>184</v>
      </c>
      <c r="E106" s="16">
        <v>48660</v>
      </c>
      <c r="G106" s="3">
        <v>25555448</v>
      </c>
      <c r="H106" s="3"/>
      <c r="I106" s="3">
        <v>3974134</v>
      </c>
      <c r="J106" s="3"/>
      <c r="K106" s="3">
        <v>0</v>
      </c>
      <c r="L106" s="3"/>
      <c r="M106" s="3">
        <f t="shared" si="8"/>
        <v>29529582</v>
      </c>
      <c r="N106" s="3"/>
      <c r="O106" s="3">
        <v>0</v>
      </c>
      <c r="P106" s="1"/>
      <c r="Q106" s="3">
        <v>1705219</v>
      </c>
      <c r="R106" s="3"/>
      <c r="S106" s="3">
        <v>26652</v>
      </c>
      <c r="T106" s="3"/>
      <c r="U106" s="3">
        <v>0</v>
      </c>
      <c r="V106" s="3"/>
      <c r="W106" s="3">
        <v>15715</v>
      </c>
      <c r="X106" s="3"/>
      <c r="Y106" s="3">
        <v>66775</v>
      </c>
      <c r="Z106" s="36"/>
      <c r="AA106" s="3">
        <v>0</v>
      </c>
      <c r="AB106" s="3"/>
      <c r="AC106" s="3">
        <f t="shared" si="7"/>
        <v>1814361</v>
      </c>
      <c r="AD106" s="3"/>
      <c r="AE106" s="3">
        <v>0</v>
      </c>
      <c r="AF106" s="3"/>
      <c r="AG106" s="3">
        <f t="shared" si="9"/>
        <v>31343943</v>
      </c>
      <c r="AH106" s="3"/>
      <c r="AI106" s="3"/>
    </row>
    <row r="107" spans="1:35">
      <c r="A107" s="3" t="s">
        <v>185</v>
      </c>
      <c r="B107" s="16"/>
      <c r="C107" s="16" t="s">
        <v>186</v>
      </c>
      <c r="E107" s="16">
        <v>125252</v>
      </c>
      <c r="G107" s="3">
        <v>7639571</v>
      </c>
      <c r="H107" s="3"/>
      <c r="I107" s="3">
        <v>2623959</v>
      </c>
      <c r="J107" s="3"/>
      <c r="K107" s="3">
        <v>0</v>
      </c>
      <c r="L107" s="3"/>
      <c r="M107" s="3">
        <f t="shared" si="8"/>
        <v>10263530</v>
      </c>
      <c r="N107" s="3"/>
      <c r="O107" s="3">
        <v>0</v>
      </c>
      <c r="P107" s="1"/>
      <c r="Q107" s="3">
        <v>908374</v>
      </c>
      <c r="R107" s="3"/>
      <c r="S107" s="3">
        <v>32328</v>
      </c>
      <c r="T107" s="3"/>
      <c r="U107" s="3">
        <v>0</v>
      </c>
      <c r="V107" s="3"/>
      <c r="W107" s="3">
        <v>0</v>
      </c>
      <c r="X107" s="3"/>
      <c r="Y107" s="3">
        <v>7249</v>
      </c>
      <c r="Z107" s="36"/>
      <c r="AA107" s="3">
        <v>0</v>
      </c>
      <c r="AB107" s="3"/>
      <c r="AC107" s="3">
        <f t="shared" si="7"/>
        <v>947951</v>
      </c>
      <c r="AD107" s="3"/>
      <c r="AE107" s="3">
        <v>0</v>
      </c>
      <c r="AF107" s="3"/>
      <c r="AG107" s="3">
        <f t="shared" si="9"/>
        <v>11211481</v>
      </c>
      <c r="AH107" s="3"/>
      <c r="AI107" s="3"/>
    </row>
    <row r="108" spans="1:35">
      <c r="A108" s="3" t="s">
        <v>277</v>
      </c>
      <c r="B108" s="16"/>
      <c r="C108" s="16" t="s">
        <v>197</v>
      </c>
      <c r="E108" s="16">
        <v>123257</v>
      </c>
      <c r="G108" s="3">
        <v>13564356</v>
      </c>
      <c r="H108" s="3"/>
      <c r="I108" s="3">
        <v>2131918</v>
      </c>
      <c r="J108" s="3"/>
      <c r="K108" s="3">
        <v>0</v>
      </c>
      <c r="L108" s="3"/>
      <c r="M108" s="3">
        <f t="shared" ref="M108:M109" si="10">SUM(G108:L108)</f>
        <v>15696274</v>
      </c>
      <c r="N108" s="3"/>
      <c r="O108" s="3">
        <v>0</v>
      </c>
      <c r="P108" s="1"/>
      <c r="Q108" s="3">
        <v>3205411</v>
      </c>
      <c r="R108" s="3"/>
      <c r="S108" s="3">
        <v>4970</v>
      </c>
      <c r="T108" s="3"/>
      <c r="U108" s="3">
        <v>0</v>
      </c>
      <c r="V108" s="3"/>
      <c r="W108" s="3">
        <v>0</v>
      </c>
      <c r="X108" s="3"/>
      <c r="Y108" s="3">
        <v>222576</v>
      </c>
      <c r="Z108" s="36"/>
      <c r="AA108" s="3">
        <v>0</v>
      </c>
      <c r="AB108" s="3"/>
      <c r="AC108" s="3">
        <f t="shared" ref="AC108" si="11">SUM(O108:AA108)</f>
        <v>3432957</v>
      </c>
      <c r="AD108" s="3"/>
      <c r="AE108" s="3">
        <v>0</v>
      </c>
      <c r="AF108" s="3"/>
      <c r="AG108" s="3">
        <f t="shared" si="9"/>
        <v>19129231</v>
      </c>
      <c r="AH108" s="3"/>
      <c r="AI108" s="3"/>
    </row>
    <row r="109" spans="1:35">
      <c r="A109" s="16" t="s">
        <v>340</v>
      </c>
      <c r="B109" s="16"/>
      <c r="C109" s="16" t="s">
        <v>163</v>
      </c>
      <c r="E109" s="16"/>
      <c r="G109" s="3">
        <v>16546970</v>
      </c>
      <c r="H109" s="3"/>
      <c r="I109" s="3">
        <v>673048</v>
      </c>
      <c r="J109" s="3"/>
      <c r="K109" s="3">
        <v>0</v>
      </c>
      <c r="L109" s="3"/>
      <c r="M109" s="3">
        <f t="shared" si="10"/>
        <v>17220018</v>
      </c>
      <c r="N109" s="3"/>
      <c r="O109" s="3">
        <v>0</v>
      </c>
      <c r="P109" s="1"/>
      <c r="Q109" s="3">
        <v>2666485</v>
      </c>
      <c r="R109" s="3"/>
      <c r="S109" s="3">
        <v>13335</v>
      </c>
      <c r="T109" s="3"/>
      <c r="U109" s="3">
        <v>0</v>
      </c>
      <c r="V109" s="3"/>
      <c r="W109" s="3">
        <v>0</v>
      </c>
      <c r="X109" s="3"/>
      <c r="Y109" s="3">
        <v>76533</v>
      </c>
      <c r="Z109" s="36"/>
      <c r="AA109" s="3">
        <v>0</v>
      </c>
      <c r="AB109" s="3"/>
      <c r="AC109" s="3">
        <f t="shared" ref="AC109" si="12">SUM(O109:AA109)</f>
        <v>2756353</v>
      </c>
      <c r="AD109" s="3"/>
      <c r="AE109" s="3">
        <v>0</v>
      </c>
      <c r="AF109" s="3"/>
      <c r="AG109" s="3">
        <f t="shared" ref="AG109" si="13">+AC109+M109</f>
        <v>19976371</v>
      </c>
      <c r="AH109" s="3"/>
      <c r="AI109" s="3"/>
    </row>
    <row r="110" spans="1:35">
      <c r="A110" s="3" t="s">
        <v>166</v>
      </c>
      <c r="B110" s="16"/>
      <c r="C110" s="3" t="s">
        <v>399</v>
      </c>
      <c r="E110" s="16">
        <v>124297</v>
      </c>
      <c r="G110" s="3">
        <v>14298738</v>
      </c>
      <c r="H110" s="3"/>
      <c r="I110" s="3">
        <v>7277756</v>
      </c>
      <c r="J110" s="3"/>
      <c r="K110" s="3">
        <v>215200</v>
      </c>
      <c r="L110" s="3"/>
      <c r="M110" s="3">
        <f t="shared" si="8"/>
        <v>21791694</v>
      </c>
      <c r="N110" s="3"/>
      <c r="O110" s="3">
        <v>0</v>
      </c>
      <c r="P110" s="1"/>
      <c r="Q110" s="3">
        <v>782864</v>
      </c>
      <c r="R110" s="3"/>
      <c r="S110" s="3">
        <v>9034</v>
      </c>
      <c r="T110" s="3"/>
      <c r="U110" s="3">
        <v>0</v>
      </c>
      <c r="V110" s="3"/>
      <c r="W110" s="3">
        <v>384</v>
      </c>
      <c r="X110" s="3"/>
      <c r="Y110" s="3">
        <f>180898+50861</f>
        <v>231759</v>
      </c>
      <c r="Z110" s="36"/>
      <c r="AA110" s="3">
        <v>0</v>
      </c>
      <c r="AB110" s="3"/>
      <c r="AC110" s="3">
        <f t="shared" si="7"/>
        <v>1024041</v>
      </c>
      <c r="AD110" s="3"/>
      <c r="AE110" s="3">
        <v>0</v>
      </c>
      <c r="AF110" s="3"/>
      <c r="AG110" s="3">
        <f t="shared" si="9"/>
        <v>22815735</v>
      </c>
      <c r="AH110" s="3"/>
      <c r="AI110" s="3" t="s">
        <v>400</v>
      </c>
    </row>
    <row r="111" spans="1:35">
      <c r="A111" s="3" t="s">
        <v>364</v>
      </c>
      <c r="B111" s="16"/>
      <c r="C111" s="3" t="s">
        <v>271</v>
      </c>
      <c r="E111" s="16">
        <v>123521</v>
      </c>
      <c r="G111" s="3">
        <v>5948012</v>
      </c>
      <c r="H111" s="3"/>
      <c r="I111" s="3">
        <v>1895489</v>
      </c>
      <c r="J111" s="3"/>
      <c r="K111" s="3">
        <v>0</v>
      </c>
      <c r="L111" s="3"/>
      <c r="M111" s="3">
        <f t="shared" si="8"/>
        <v>7843501</v>
      </c>
      <c r="N111" s="3"/>
      <c r="O111" s="3">
        <v>0</v>
      </c>
      <c r="P111" s="1"/>
      <c r="Q111" s="3">
        <v>852325</v>
      </c>
      <c r="R111" s="3"/>
      <c r="S111" s="3">
        <v>9901</v>
      </c>
      <c r="T111" s="3"/>
      <c r="U111" s="3">
        <v>0</v>
      </c>
      <c r="V111" s="3"/>
      <c r="W111" s="3">
        <v>0</v>
      </c>
      <c r="X111" s="3"/>
      <c r="Y111" s="3">
        <v>20840</v>
      </c>
      <c r="Z111" s="36"/>
      <c r="AA111" s="3">
        <v>0</v>
      </c>
      <c r="AB111" s="3"/>
      <c r="AC111" s="3">
        <f t="shared" si="7"/>
        <v>883066</v>
      </c>
      <c r="AD111" s="3"/>
      <c r="AE111" s="3">
        <v>0</v>
      </c>
      <c r="AF111" s="3"/>
      <c r="AG111" s="3">
        <f t="shared" si="9"/>
        <v>8726567</v>
      </c>
      <c r="AH111" s="3"/>
      <c r="AI111" s="3"/>
    </row>
    <row r="112" spans="1:35">
      <c r="A112" s="3" t="s">
        <v>187</v>
      </c>
      <c r="B112" s="16"/>
      <c r="C112" s="16" t="s">
        <v>188</v>
      </c>
      <c r="E112" s="16">
        <v>125674</v>
      </c>
      <c r="G112" s="3">
        <v>4367026</v>
      </c>
      <c r="H112" s="3"/>
      <c r="I112" s="3">
        <v>1803058</v>
      </c>
      <c r="J112" s="3"/>
      <c r="K112" s="3">
        <v>0</v>
      </c>
      <c r="L112" s="3"/>
      <c r="M112" s="3">
        <f t="shared" si="8"/>
        <v>6170084</v>
      </c>
      <c r="N112" s="3"/>
      <c r="O112" s="3">
        <v>0</v>
      </c>
      <c r="P112" s="1"/>
      <c r="Q112" s="3">
        <v>306350</v>
      </c>
      <c r="R112" s="3"/>
      <c r="S112" s="3">
        <v>1348</v>
      </c>
      <c r="T112" s="3"/>
      <c r="U112" s="3">
        <v>0</v>
      </c>
      <c r="V112" s="3"/>
      <c r="W112" s="3">
        <v>0</v>
      </c>
      <c r="X112" s="3"/>
      <c r="Y112" s="3">
        <f>5248+32839</f>
        <v>38087</v>
      </c>
      <c r="Z112" s="36"/>
      <c r="AA112" s="3">
        <v>0</v>
      </c>
      <c r="AB112" s="3"/>
      <c r="AC112" s="3">
        <f t="shared" si="7"/>
        <v>345785</v>
      </c>
      <c r="AD112" s="3"/>
      <c r="AE112" s="3">
        <v>0</v>
      </c>
      <c r="AF112" s="3"/>
      <c r="AG112" s="3">
        <f t="shared" si="9"/>
        <v>6515869</v>
      </c>
      <c r="AH112" s="3"/>
      <c r="AI112" s="3" t="s">
        <v>406</v>
      </c>
    </row>
    <row r="113" spans="1:35">
      <c r="A113" s="3" t="s">
        <v>421</v>
      </c>
      <c r="B113" s="16"/>
      <c r="C113" s="16" t="s">
        <v>189</v>
      </c>
      <c r="E113" s="16">
        <v>49072</v>
      </c>
      <c r="G113" s="3">
        <v>3013020</v>
      </c>
      <c r="H113" s="3"/>
      <c r="I113" s="3">
        <v>757308</v>
      </c>
      <c r="J113" s="3"/>
      <c r="K113" s="3">
        <v>0</v>
      </c>
      <c r="L113" s="3"/>
      <c r="M113" s="3">
        <f t="shared" si="8"/>
        <v>3770328</v>
      </c>
      <c r="N113" s="3"/>
      <c r="O113" s="3">
        <v>0</v>
      </c>
      <c r="P113" s="1"/>
      <c r="Q113" s="3">
        <v>317695</v>
      </c>
      <c r="R113" s="3"/>
      <c r="S113" s="3">
        <v>0</v>
      </c>
      <c r="T113" s="3"/>
      <c r="U113" s="3">
        <v>0</v>
      </c>
      <c r="V113" s="3"/>
      <c r="W113" s="3">
        <v>0</v>
      </c>
      <c r="X113" s="3"/>
      <c r="Y113" s="3">
        <v>51965</v>
      </c>
      <c r="Z113" s="36"/>
      <c r="AA113" s="3">
        <v>0</v>
      </c>
      <c r="AB113" s="3"/>
      <c r="AC113" s="3">
        <f t="shared" si="7"/>
        <v>369660</v>
      </c>
      <c r="AD113" s="3"/>
      <c r="AE113" s="3">
        <v>0</v>
      </c>
      <c r="AF113" s="3"/>
      <c r="AG113" s="3">
        <f t="shared" si="9"/>
        <v>4139988</v>
      </c>
      <c r="AH113" s="3"/>
      <c r="AI113" s="32"/>
    </row>
    <row r="114" spans="1:35">
      <c r="A114" s="3" t="s">
        <v>408</v>
      </c>
      <c r="B114" s="16"/>
      <c r="C114" s="16" t="s">
        <v>190</v>
      </c>
      <c r="E114" s="16">
        <v>49163</v>
      </c>
      <c r="G114" s="3">
        <v>7271674</v>
      </c>
      <c r="H114" s="3"/>
      <c r="I114" s="3">
        <v>111999</v>
      </c>
      <c r="J114" s="3"/>
      <c r="K114" s="3">
        <v>0</v>
      </c>
      <c r="L114" s="3"/>
      <c r="M114" s="3">
        <f t="shared" si="8"/>
        <v>7383673</v>
      </c>
      <c r="N114" s="3"/>
      <c r="O114" s="3">
        <v>0</v>
      </c>
      <c r="P114" s="1"/>
      <c r="Q114" s="3">
        <v>1310469</v>
      </c>
      <c r="R114" s="3"/>
      <c r="S114" s="3">
        <v>757</v>
      </c>
      <c r="T114" s="3"/>
      <c r="U114" s="3">
        <v>0</v>
      </c>
      <c r="V114" s="3"/>
      <c r="W114" s="3">
        <v>0</v>
      </c>
      <c r="X114" s="3"/>
      <c r="Y114" s="3">
        <v>0</v>
      </c>
      <c r="Z114" s="36"/>
      <c r="AA114" s="3">
        <v>0</v>
      </c>
      <c r="AB114" s="3"/>
      <c r="AC114" s="3">
        <f t="shared" si="7"/>
        <v>1311226</v>
      </c>
      <c r="AD114" s="3"/>
      <c r="AE114" s="3">
        <v>0</v>
      </c>
      <c r="AF114" s="3"/>
      <c r="AG114" s="3">
        <f t="shared" si="9"/>
        <v>8694899</v>
      </c>
      <c r="AH114" s="3"/>
      <c r="AI114" s="32"/>
    </row>
    <row r="115" spans="1:35" s="72" customFormat="1" hidden="1">
      <c r="A115" s="66" t="s">
        <v>409</v>
      </c>
      <c r="B115" s="66"/>
      <c r="C115" s="66" t="s">
        <v>191</v>
      </c>
      <c r="E115" s="66">
        <v>49254</v>
      </c>
      <c r="G115" s="65"/>
      <c r="H115" s="65"/>
      <c r="I115" s="65"/>
      <c r="J115" s="65"/>
      <c r="K115" s="65"/>
      <c r="L115" s="65"/>
      <c r="M115" s="65">
        <f t="shared" si="8"/>
        <v>0</v>
      </c>
      <c r="N115" s="65"/>
      <c r="O115" s="65"/>
      <c r="P115" s="75"/>
      <c r="Q115" s="65"/>
      <c r="R115" s="65"/>
      <c r="S115" s="65"/>
      <c r="T115" s="65"/>
      <c r="U115" s="65"/>
      <c r="V115" s="65"/>
      <c r="W115" s="65"/>
      <c r="X115" s="65"/>
      <c r="Y115" s="65"/>
      <c r="Z115" s="74"/>
      <c r="AA115" s="65"/>
      <c r="AB115" s="65"/>
      <c r="AC115" s="65">
        <f t="shared" si="7"/>
        <v>0</v>
      </c>
      <c r="AD115" s="65"/>
      <c r="AE115" s="65">
        <v>0</v>
      </c>
      <c r="AF115" s="65"/>
      <c r="AG115" s="65">
        <f t="shared" si="9"/>
        <v>0</v>
      </c>
      <c r="AH115" s="65"/>
      <c r="AI115" s="80" t="s">
        <v>410</v>
      </c>
    </row>
    <row r="116" spans="1:35">
      <c r="A116" s="3" t="s">
        <v>411</v>
      </c>
      <c r="B116" s="16"/>
      <c r="C116" s="16" t="s">
        <v>192</v>
      </c>
      <c r="E116" s="16">
        <v>49304</v>
      </c>
      <c r="G116" s="3">
        <v>2232922</v>
      </c>
      <c r="H116" s="3"/>
      <c r="I116" s="3">
        <v>3774082</v>
      </c>
      <c r="J116" s="3"/>
      <c r="K116" s="3">
        <v>0</v>
      </c>
      <c r="L116" s="3"/>
      <c r="M116" s="3">
        <f t="shared" si="8"/>
        <v>6007004</v>
      </c>
      <c r="N116" s="3"/>
      <c r="O116" s="3">
        <v>0</v>
      </c>
      <c r="P116" s="1"/>
      <c r="Q116" s="3">
        <v>794632</v>
      </c>
      <c r="R116" s="3"/>
      <c r="S116" s="3">
        <v>5839</v>
      </c>
      <c r="T116" s="3"/>
      <c r="U116" s="3">
        <v>0</v>
      </c>
      <c r="V116" s="3"/>
      <c r="W116" s="3">
        <v>0</v>
      </c>
      <c r="X116" s="3"/>
      <c r="Y116" s="3">
        <v>57772</v>
      </c>
      <c r="Z116" s="36"/>
      <c r="AA116" s="3">
        <v>0</v>
      </c>
      <c r="AB116" s="3"/>
      <c r="AC116" s="3">
        <f t="shared" si="7"/>
        <v>858243</v>
      </c>
      <c r="AD116" s="3"/>
      <c r="AE116" s="3">
        <v>0</v>
      </c>
      <c r="AF116" s="3"/>
      <c r="AG116" s="3">
        <f t="shared" si="9"/>
        <v>6865247</v>
      </c>
      <c r="AH116" s="3"/>
      <c r="AI116" s="3"/>
    </row>
    <row r="117" spans="1:35">
      <c r="A117" s="3" t="s">
        <v>412</v>
      </c>
      <c r="B117" s="16"/>
      <c r="C117" s="16" t="s">
        <v>194</v>
      </c>
      <c r="E117" s="16">
        <v>138222</v>
      </c>
      <c r="G117" s="3">
        <v>7075448</v>
      </c>
      <c r="H117" s="3"/>
      <c r="I117" s="3">
        <v>2997487</v>
      </c>
      <c r="J117" s="3"/>
      <c r="K117" s="3">
        <v>0</v>
      </c>
      <c r="L117" s="3"/>
      <c r="M117" s="3">
        <f t="shared" si="8"/>
        <v>10072935</v>
      </c>
      <c r="N117" s="3"/>
      <c r="O117" s="3">
        <v>0</v>
      </c>
      <c r="P117" s="1"/>
      <c r="Q117" s="3">
        <v>503055</v>
      </c>
      <c r="R117" s="3"/>
      <c r="S117" s="3">
        <v>19319</v>
      </c>
      <c r="T117" s="3"/>
      <c r="U117" s="3">
        <v>0</v>
      </c>
      <c r="V117" s="3"/>
      <c r="W117" s="3">
        <v>0</v>
      </c>
      <c r="X117" s="3"/>
      <c r="Y117" s="3">
        <v>176509</v>
      </c>
      <c r="Z117" s="36"/>
      <c r="AA117" s="3">
        <v>0</v>
      </c>
      <c r="AB117" s="3"/>
      <c r="AC117" s="3">
        <f t="shared" si="7"/>
        <v>698883</v>
      </c>
      <c r="AD117" s="3"/>
      <c r="AE117" s="3">
        <v>0</v>
      </c>
      <c r="AF117" s="3"/>
      <c r="AG117" s="3">
        <f t="shared" si="9"/>
        <v>10771818</v>
      </c>
      <c r="AH117" s="3"/>
      <c r="AI117" s="3"/>
    </row>
    <row r="118" spans="1:35" s="72" customFormat="1" hidden="1">
      <c r="A118" s="65" t="s">
        <v>341</v>
      </c>
      <c r="B118" s="66"/>
      <c r="C118" s="66" t="s">
        <v>195</v>
      </c>
      <c r="E118" s="66">
        <v>49551</v>
      </c>
      <c r="G118" s="65"/>
      <c r="H118" s="65"/>
      <c r="I118" s="65"/>
      <c r="J118" s="65"/>
      <c r="K118" s="65"/>
      <c r="L118" s="65"/>
      <c r="M118" s="65">
        <f t="shared" si="8"/>
        <v>0</v>
      </c>
      <c r="N118" s="65"/>
      <c r="O118" s="65"/>
      <c r="P118" s="75"/>
      <c r="Q118" s="65"/>
      <c r="R118" s="65"/>
      <c r="S118" s="65"/>
      <c r="T118" s="65"/>
      <c r="U118" s="65"/>
      <c r="V118" s="65"/>
      <c r="W118" s="65"/>
      <c r="X118" s="65"/>
      <c r="Y118" s="65"/>
      <c r="Z118" s="74"/>
      <c r="AA118" s="65"/>
      <c r="AB118" s="65"/>
      <c r="AC118" s="65">
        <f t="shared" si="7"/>
        <v>0</v>
      </c>
      <c r="AD118" s="65"/>
      <c r="AE118" s="65">
        <v>0</v>
      </c>
      <c r="AF118" s="65"/>
      <c r="AG118" s="65">
        <f t="shared" si="9"/>
        <v>0</v>
      </c>
      <c r="AH118" s="65"/>
      <c r="AI118" s="65" t="s">
        <v>321</v>
      </c>
    </row>
    <row r="119" spans="1:35">
      <c r="A119" s="3" t="s">
        <v>417</v>
      </c>
      <c r="B119" s="16"/>
      <c r="C119" s="16" t="s">
        <v>198</v>
      </c>
      <c r="E119" s="16">
        <v>49742</v>
      </c>
      <c r="G119" s="3">
        <v>3280435</v>
      </c>
      <c r="H119" s="3"/>
      <c r="I119" s="3">
        <v>1709866</v>
      </c>
      <c r="J119" s="3"/>
      <c r="K119" s="3">
        <v>0</v>
      </c>
      <c r="L119" s="3"/>
      <c r="M119" s="3">
        <f t="shared" si="8"/>
        <v>4990301</v>
      </c>
      <c r="N119" s="3"/>
      <c r="O119" s="3">
        <v>0</v>
      </c>
      <c r="P119" s="1"/>
      <c r="Q119" s="3">
        <v>297961</v>
      </c>
      <c r="R119" s="3"/>
      <c r="S119" s="3">
        <v>1927</v>
      </c>
      <c r="T119" s="3"/>
      <c r="U119" s="3">
        <v>0</v>
      </c>
      <c r="V119" s="3"/>
      <c r="W119" s="3">
        <v>0</v>
      </c>
      <c r="X119" s="3"/>
      <c r="Y119" s="3">
        <v>70998</v>
      </c>
      <c r="Z119" s="36"/>
      <c r="AA119" s="3">
        <v>0</v>
      </c>
      <c r="AB119" s="3"/>
      <c r="AC119" s="3">
        <f t="shared" si="7"/>
        <v>370886</v>
      </c>
      <c r="AD119" s="3"/>
      <c r="AE119" s="3">
        <v>0</v>
      </c>
      <c r="AF119" s="3"/>
      <c r="AG119" s="3">
        <f t="shared" si="9"/>
        <v>5361187</v>
      </c>
      <c r="AH119" s="3"/>
      <c r="AI119" s="32" t="s">
        <v>418</v>
      </c>
    </row>
    <row r="120" spans="1:35">
      <c r="A120" s="3" t="s">
        <v>275</v>
      </c>
      <c r="B120" s="16"/>
      <c r="C120" s="16" t="s">
        <v>196</v>
      </c>
      <c r="E120" s="16">
        <v>125658</v>
      </c>
      <c r="G120" s="3">
        <v>6775369</v>
      </c>
      <c r="H120" s="3"/>
      <c r="I120" s="3">
        <v>1080079</v>
      </c>
      <c r="J120" s="3"/>
      <c r="K120" s="3">
        <v>0</v>
      </c>
      <c r="L120" s="3"/>
      <c r="M120" s="3">
        <f t="shared" si="8"/>
        <v>7855448</v>
      </c>
      <c r="N120" s="3"/>
      <c r="O120" s="3">
        <v>0</v>
      </c>
      <c r="P120" s="1"/>
      <c r="Q120" s="3">
        <v>1284595</v>
      </c>
      <c r="R120" s="3"/>
      <c r="S120" s="3">
        <v>6675</v>
      </c>
      <c r="T120" s="3"/>
      <c r="U120" s="3">
        <v>0</v>
      </c>
      <c r="V120" s="3"/>
      <c r="W120" s="3">
        <v>0</v>
      </c>
      <c r="X120" s="3"/>
      <c r="Y120" s="3">
        <v>1957</v>
      </c>
      <c r="Z120" s="36"/>
      <c r="AA120" s="3">
        <v>0</v>
      </c>
      <c r="AB120" s="3"/>
      <c r="AC120" s="3">
        <f t="shared" si="7"/>
        <v>1293227</v>
      </c>
      <c r="AD120" s="3"/>
      <c r="AE120" s="3">
        <v>0</v>
      </c>
      <c r="AF120" s="3"/>
      <c r="AG120" s="3">
        <f t="shared" si="9"/>
        <v>9148675</v>
      </c>
      <c r="AH120" s="3"/>
      <c r="AI120" s="3"/>
    </row>
    <row r="121" spans="1:35">
      <c r="A121" s="3" t="s">
        <v>274</v>
      </c>
      <c r="B121" s="3"/>
      <c r="C121" s="3" t="s">
        <v>158</v>
      </c>
      <c r="E121" s="16"/>
      <c r="G121" s="3">
        <v>2330074</v>
      </c>
      <c r="H121" s="3"/>
      <c r="I121" s="3">
        <v>483508</v>
      </c>
      <c r="J121" s="3"/>
      <c r="K121" s="3">
        <v>0</v>
      </c>
      <c r="L121" s="3"/>
      <c r="M121" s="3">
        <f>SUM(G121:L121)</f>
        <v>2813582</v>
      </c>
      <c r="N121" s="3"/>
      <c r="O121" s="3">
        <v>0</v>
      </c>
      <c r="P121" s="1"/>
      <c r="Q121" s="3">
        <v>731021</v>
      </c>
      <c r="R121" s="3"/>
      <c r="S121" s="3">
        <v>72006</v>
      </c>
      <c r="T121" s="3"/>
      <c r="U121" s="3">
        <v>0</v>
      </c>
      <c r="V121" s="3"/>
      <c r="W121" s="3">
        <v>0</v>
      </c>
      <c r="X121" s="3"/>
      <c r="Y121" s="3">
        <v>32332</v>
      </c>
      <c r="Z121" s="36"/>
      <c r="AA121" s="3">
        <v>0</v>
      </c>
      <c r="AB121" s="3"/>
      <c r="AC121" s="3">
        <f t="shared" si="7"/>
        <v>835359</v>
      </c>
      <c r="AD121" s="3"/>
      <c r="AE121" s="3">
        <v>0</v>
      </c>
      <c r="AF121" s="3"/>
      <c r="AG121" s="3">
        <f t="shared" si="9"/>
        <v>3648941</v>
      </c>
      <c r="AH121" s="3"/>
      <c r="AI121" s="19"/>
    </row>
    <row r="122" spans="1:35">
      <c r="A122" s="16" t="s">
        <v>419</v>
      </c>
      <c r="B122" s="16"/>
      <c r="C122" s="16" t="s">
        <v>199</v>
      </c>
      <c r="E122" s="16">
        <v>49825</v>
      </c>
      <c r="G122" s="3">
        <v>13006647</v>
      </c>
      <c r="H122" s="3"/>
      <c r="I122" s="3">
        <v>3341374</v>
      </c>
      <c r="J122" s="3"/>
      <c r="K122" s="3">
        <v>0</v>
      </c>
      <c r="L122" s="3"/>
      <c r="M122" s="3">
        <f t="shared" si="8"/>
        <v>16348021</v>
      </c>
      <c r="N122" s="3"/>
      <c r="O122" s="3">
        <v>0</v>
      </c>
      <c r="P122" s="1"/>
      <c r="Q122" s="3">
        <v>3305200</v>
      </c>
      <c r="R122" s="3"/>
      <c r="S122" s="3">
        <v>19104</v>
      </c>
      <c r="T122" s="3"/>
      <c r="U122" s="3">
        <v>0</v>
      </c>
      <c r="V122" s="3"/>
      <c r="W122" s="3">
        <v>0</v>
      </c>
      <c r="X122" s="3"/>
      <c r="Y122" s="3">
        <v>61203</v>
      </c>
      <c r="Z122" s="36"/>
      <c r="AA122" s="3">
        <v>0</v>
      </c>
      <c r="AB122" s="3"/>
      <c r="AC122" s="3">
        <f t="shared" si="7"/>
        <v>3385507</v>
      </c>
      <c r="AD122" s="3"/>
      <c r="AE122" s="3">
        <v>0</v>
      </c>
      <c r="AF122" s="3"/>
      <c r="AG122" s="3">
        <f t="shared" si="9"/>
        <v>19733528</v>
      </c>
      <c r="AH122" s="3"/>
      <c r="AI122" s="30"/>
    </row>
    <row r="123" spans="1:35">
      <c r="A123" s="3" t="s">
        <v>420</v>
      </c>
      <c r="B123" s="16"/>
      <c r="C123" s="16" t="s">
        <v>200</v>
      </c>
      <c r="E123" s="16">
        <v>49965</v>
      </c>
      <c r="G123" s="3">
        <v>9388424</v>
      </c>
      <c r="H123" s="3"/>
      <c r="I123" s="3">
        <v>2342371</v>
      </c>
      <c r="J123" s="3"/>
      <c r="K123" s="3">
        <v>0</v>
      </c>
      <c r="L123" s="3"/>
      <c r="M123" s="3">
        <f t="shared" si="8"/>
        <v>11730795</v>
      </c>
      <c r="N123" s="3"/>
      <c r="O123" s="3">
        <v>0</v>
      </c>
      <c r="P123" s="1"/>
      <c r="Q123" s="3">
        <v>2351492</v>
      </c>
      <c r="R123" s="3"/>
      <c r="S123" s="3">
        <v>9617</v>
      </c>
      <c r="T123" s="3"/>
      <c r="U123" s="3">
        <v>0</v>
      </c>
      <c r="V123" s="3"/>
      <c r="W123" s="3">
        <v>0</v>
      </c>
      <c r="X123" s="3"/>
      <c r="Y123" s="3">
        <v>314</v>
      </c>
      <c r="Z123" s="36"/>
      <c r="AA123" s="3">
        <v>0</v>
      </c>
      <c r="AB123" s="3"/>
      <c r="AC123" s="3">
        <f t="shared" si="7"/>
        <v>2361423</v>
      </c>
      <c r="AD123" s="3"/>
      <c r="AE123" s="3">
        <v>0</v>
      </c>
      <c r="AF123" s="3"/>
      <c r="AG123" s="3">
        <f t="shared" si="9"/>
        <v>14092218</v>
      </c>
      <c r="AH123" s="3"/>
      <c r="AI123" s="32" t="s">
        <v>305</v>
      </c>
    </row>
    <row r="124" spans="1:35">
      <c r="A124" s="3" t="s">
        <v>207</v>
      </c>
      <c r="B124" s="16"/>
      <c r="C124" s="16" t="s">
        <v>208</v>
      </c>
      <c r="E124" s="16">
        <v>50526</v>
      </c>
      <c r="G124" s="3">
        <v>9708927</v>
      </c>
      <c r="H124" s="3"/>
      <c r="I124" s="3">
        <v>3620777</v>
      </c>
      <c r="J124" s="3"/>
      <c r="K124" s="3">
        <v>0</v>
      </c>
      <c r="L124" s="3"/>
      <c r="M124" s="3">
        <f t="shared" si="8"/>
        <v>13329704</v>
      </c>
      <c r="N124" s="3"/>
      <c r="O124" s="3">
        <v>0</v>
      </c>
      <c r="P124" s="1"/>
      <c r="Q124" s="3">
        <v>827807</v>
      </c>
      <c r="R124" s="3"/>
      <c r="S124" s="3">
        <v>36249</v>
      </c>
      <c r="T124" s="3"/>
      <c r="U124" s="3">
        <v>0</v>
      </c>
      <c r="V124" s="3"/>
      <c r="W124" s="3">
        <v>0</v>
      </c>
      <c r="X124" s="3"/>
      <c r="Y124" s="3">
        <v>44936</v>
      </c>
      <c r="Z124" s="36"/>
      <c r="AA124" s="3">
        <v>0</v>
      </c>
      <c r="AB124" s="3"/>
      <c r="AC124" s="3">
        <f t="shared" si="7"/>
        <v>908992</v>
      </c>
      <c r="AD124" s="3"/>
      <c r="AE124" s="3">
        <v>0</v>
      </c>
      <c r="AF124" s="3"/>
      <c r="AG124" s="3">
        <f t="shared" si="9"/>
        <v>14238696</v>
      </c>
      <c r="AH124" s="3"/>
      <c r="AI124" s="32"/>
    </row>
    <row r="125" spans="1:35">
      <c r="A125" s="3" t="s">
        <v>422</v>
      </c>
      <c r="B125" s="16"/>
      <c r="C125" s="16" t="s">
        <v>201</v>
      </c>
      <c r="E125" s="16">
        <v>50088</v>
      </c>
      <c r="G125" s="3">
        <v>13417287</v>
      </c>
      <c r="H125" s="3"/>
      <c r="I125" s="3">
        <v>1515819</v>
      </c>
      <c r="J125" s="3"/>
      <c r="K125" s="3">
        <v>0</v>
      </c>
      <c r="L125" s="3"/>
      <c r="M125" s="3">
        <f t="shared" si="8"/>
        <v>14933106</v>
      </c>
      <c r="N125" s="3"/>
      <c r="O125" s="3">
        <v>0</v>
      </c>
      <c r="P125" s="1"/>
      <c r="Q125" s="3">
        <v>1042945</v>
      </c>
      <c r="R125" s="3"/>
      <c r="S125" s="3">
        <v>64120</v>
      </c>
      <c r="T125" s="3"/>
      <c r="U125" s="3">
        <v>0</v>
      </c>
      <c r="V125" s="3"/>
      <c r="W125" s="3">
        <v>0</v>
      </c>
      <c r="X125" s="3"/>
      <c r="Y125" s="3">
        <v>20054</v>
      </c>
      <c r="Z125" s="36"/>
      <c r="AA125" s="3">
        <v>0</v>
      </c>
      <c r="AB125" s="3"/>
      <c r="AC125" s="3">
        <f t="shared" si="7"/>
        <v>1127119</v>
      </c>
      <c r="AD125" s="3"/>
      <c r="AE125" s="3">
        <v>0</v>
      </c>
      <c r="AF125" s="3"/>
      <c r="AG125" s="3">
        <f t="shared" si="9"/>
        <v>16060225</v>
      </c>
      <c r="AH125" s="3"/>
      <c r="AI125" s="3"/>
    </row>
    <row r="126" spans="1:35" s="72" customFormat="1" hidden="1">
      <c r="A126" s="65" t="s">
        <v>342</v>
      </c>
      <c r="B126" s="66"/>
      <c r="C126" s="66" t="s">
        <v>202</v>
      </c>
      <c r="E126" s="66">
        <v>50260</v>
      </c>
      <c r="G126" s="65"/>
      <c r="H126" s="65"/>
      <c r="I126" s="65"/>
      <c r="J126" s="65"/>
      <c r="K126" s="65"/>
      <c r="L126" s="65"/>
      <c r="M126" s="65">
        <f t="shared" si="8"/>
        <v>0</v>
      </c>
      <c r="N126" s="65"/>
      <c r="O126" s="65"/>
      <c r="P126" s="75"/>
      <c r="Q126" s="65"/>
      <c r="R126" s="65"/>
      <c r="S126" s="65"/>
      <c r="T126" s="65"/>
      <c r="U126" s="65"/>
      <c r="V126" s="65"/>
      <c r="W126" s="65"/>
      <c r="X126" s="65"/>
      <c r="Y126" s="65"/>
      <c r="Z126" s="74"/>
      <c r="AA126" s="65"/>
      <c r="AB126" s="65"/>
      <c r="AC126" s="65">
        <f t="shared" si="7"/>
        <v>0</v>
      </c>
      <c r="AD126" s="65"/>
      <c r="AE126" s="65">
        <v>0</v>
      </c>
      <c r="AF126" s="65"/>
      <c r="AG126" s="65">
        <f t="shared" si="9"/>
        <v>0</v>
      </c>
      <c r="AH126" s="65"/>
      <c r="AI126" s="65"/>
    </row>
    <row r="127" spans="1:35" s="72" customFormat="1" hidden="1">
      <c r="A127" s="65" t="s">
        <v>424</v>
      </c>
      <c r="B127" s="66"/>
      <c r="C127" s="66" t="s">
        <v>205</v>
      </c>
      <c r="E127" s="66">
        <v>50401</v>
      </c>
      <c r="G127" s="65"/>
      <c r="H127" s="65"/>
      <c r="I127" s="65"/>
      <c r="J127" s="65"/>
      <c r="K127" s="65"/>
      <c r="L127" s="65"/>
      <c r="M127" s="65">
        <f t="shared" si="8"/>
        <v>0</v>
      </c>
      <c r="N127" s="65"/>
      <c r="O127" s="65"/>
      <c r="P127" s="75"/>
      <c r="Q127" s="65"/>
      <c r="R127" s="65"/>
      <c r="S127" s="65"/>
      <c r="T127" s="65"/>
      <c r="U127" s="65"/>
      <c r="V127" s="65"/>
      <c r="W127" s="65"/>
      <c r="X127" s="65"/>
      <c r="Y127" s="65"/>
      <c r="Z127" s="74"/>
      <c r="AA127" s="65"/>
      <c r="AB127" s="65"/>
      <c r="AC127" s="65">
        <f t="shared" si="7"/>
        <v>0</v>
      </c>
      <c r="AD127" s="65"/>
      <c r="AE127" s="65">
        <v>0</v>
      </c>
      <c r="AF127" s="65"/>
      <c r="AG127" s="65">
        <f t="shared" si="9"/>
        <v>0</v>
      </c>
      <c r="AH127" s="65"/>
      <c r="AI127" s="80" t="s">
        <v>410</v>
      </c>
    </row>
    <row r="128" spans="1:35" s="72" customFormat="1" hidden="1">
      <c r="A128" s="65" t="s">
        <v>343</v>
      </c>
      <c r="B128" s="66"/>
      <c r="C128" s="66" t="s">
        <v>206</v>
      </c>
      <c r="E128" s="66">
        <v>50476</v>
      </c>
      <c r="G128" s="65"/>
      <c r="H128" s="65"/>
      <c r="I128" s="65"/>
      <c r="J128" s="65"/>
      <c r="K128" s="65"/>
      <c r="L128" s="65"/>
      <c r="M128" s="65">
        <f t="shared" si="8"/>
        <v>0</v>
      </c>
      <c r="N128" s="65"/>
      <c r="O128" s="65"/>
      <c r="P128" s="75"/>
      <c r="Q128" s="65"/>
      <c r="R128" s="65"/>
      <c r="S128" s="65"/>
      <c r="T128" s="65"/>
      <c r="U128" s="65"/>
      <c r="V128" s="65"/>
      <c r="W128" s="65"/>
      <c r="X128" s="65"/>
      <c r="Y128" s="65"/>
      <c r="Z128" s="74"/>
      <c r="AA128" s="65"/>
      <c r="AB128" s="65"/>
      <c r="AC128" s="65">
        <f t="shared" si="7"/>
        <v>0</v>
      </c>
      <c r="AD128" s="65"/>
      <c r="AE128" s="65">
        <v>0</v>
      </c>
      <c r="AF128" s="65"/>
      <c r="AG128" s="65">
        <f t="shared" si="9"/>
        <v>0</v>
      </c>
      <c r="AH128" s="65"/>
      <c r="AI128" s="66"/>
    </row>
    <row r="129" spans="1:35">
      <c r="A129" s="3" t="s">
        <v>203</v>
      </c>
      <c r="B129" s="16"/>
      <c r="C129" s="16" t="s">
        <v>270</v>
      </c>
      <c r="E129" s="16">
        <v>134999</v>
      </c>
      <c r="G129" s="3">
        <v>3145138</v>
      </c>
      <c r="H129" s="3"/>
      <c r="I129" s="3">
        <v>1821271</v>
      </c>
      <c r="J129" s="3"/>
      <c r="K129" s="3">
        <v>0</v>
      </c>
      <c r="L129" s="3"/>
      <c r="M129" s="3">
        <f t="shared" si="8"/>
        <v>4966409</v>
      </c>
      <c r="N129" s="3"/>
      <c r="O129" s="3">
        <v>0</v>
      </c>
      <c r="P129" s="1"/>
      <c r="Q129" s="3">
        <v>108257</v>
      </c>
      <c r="R129" s="3"/>
      <c r="S129" s="3">
        <v>3433</v>
      </c>
      <c r="T129" s="3"/>
      <c r="U129" s="3">
        <v>0</v>
      </c>
      <c r="V129" s="3"/>
      <c r="W129" s="3">
        <v>0</v>
      </c>
      <c r="X129" s="3"/>
      <c r="Y129" s="3">
        <v>18507</v>
      </c>
      <c r="Z129" s="36"/>
      <c r="AA129" s="3">
        <v>0</v>
      </c>
      <c r="AB129" s="3"/>
      <c r="AC129" s="3">
        <f t="shared" si="7"/>
        <v>130197</v>
      </c>
      <c r="AD129" s="3"/>
      <c r="AE129" s="3">
        <v>0</v>
      </c>
      <c r="AF129" s="3"/>
      <c r="AG129" s="3">
        <f t="shared" si="9"/>
        <v>5096606</v>
      </c>
      <c r="AH129" s="3"/>
      <c r="AI129" s="3"/>
    </row>
    <row r="130" spans="1:35">
      <c r="A130" s="3" t="s">
        <v>423</v>
      </c>
      <c r="B130" s="16"/>
      <c r="C130" s="16" t="s">
        <v>209</v>
      </c>
      <c r="E130" s="16">
        <v>50666</v>
      </c>
      <c r="G130" s="3">
        <v>11199487</v>
      </c>
      <c r="H130" s="3"/>
      <c r="I130" s="3">
        <v>4229942</v>
      </c>
      <c r="J130" s="3"/>
      <c r="K130" s="3">
        <v>0</v>
      </c>
      <c r="L130" s="3"/>
      <c r="M130" s="3">
        <f t="shared" si="8"/>
        <v>15429429</v>
      </c>
      <c r="N130" s="3"/>
      <c r="O130" s="3">
        <v>0</v>
      </c>
      <c r="P130" s="1"/>
      <c r="Q130" s="3">
        <v>478471</v>
      </c>
      <c r="R130" s="3"/>
      <c r="S130" s="3">
        <v>55284</v>
      </c>
      <c r="T130" s="3"/>
      <c r="U130" s="3">
        <v>0</v>
      </c>
      <c r="V130" s="3"/>
      <c r="W130" s="3">
        <v>4050</v>
      </c>
      <c r="X130" s="3"/>
      <c r="Y130" s="3">
        <v>174890</v>
      </c>
      <c r="Z130" s="36"/>
      <c r="AA130" s="3">
        <v>0</v>
      </c>
      <c r="AB130" s="3"/>
      <c r="AC130" s="3">
        <f t="shared" si="7"/>
        <v>712695</v>
      </c>
      <c r="AD130" s="3"/>
      <c r="AE130" s="3">
        <v>0</v>
      </c>
      <c r="AF130" s="3"/>
      <c r="AG130" s="3">
        <f t="shared" si="9"/>
        <v>16142124</v>
      </c>
      <c r="AH130" s="3"/>
      <c r="AI130" s="3"/>
    </row>
    <row r="131" spans="1:35">
      <c r="A131" s="3"/>
    </row>
    <row r="132" spans="1:35">
      <c r="G132" s="3"/>
    </row>
    <row r="134" spans="1:35">
      <c r="G134" s="3"/>
    </row>
    <row r="135" spans="1:35">
      <c r="G135" s="3"/>
    </row>
    <row r="136" spans="1:35">
      <c r="G136" s="3"/>
    </row>
    <row r="137" spans="1:35">
      <c r="G137" s="3"/>
    </row>
    <row r="138" spans="1:35">
      <c r="G138" s="3"/>
    </row>
    <row r="139" spans="1:35">
      <c r="G139" s="3"/>
    </row>
  </sheetData>
  <mergeCells count="2">
    <mergeCell ref="O6:Y6"/>
    <mergeCell ref="G6:K6"/>
  </mergeCells>
  <phoneticPr fontId="3" type="noConversion"/>
  <pageMargins left="0.9" right="0.75" top="0.5" bottom="0.5" header="0.25" footer="0.25"/>
  <pageSetup scale="80" firstPageNumber="10" pageOrder="overThenDown" orientation="portrait" useFirstPageNumber="1" r:id="rId1"/>
  <headerFooter scaleWithDoc="0" alignWithMargins="0"/>
  <rowBreaks count="1" manualBreakCount="1">
    <brk id="6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BT1006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AQ11" sqref="AQ11"/>
    </sheetView>
  </sheetViews>
  <sheetFormatPr defaultRowHeight="12"/>
  <cols>
    <col min="1" max="1" width="40.7109375" style="33" customWidth="1"/>
    <col min="2" max="2" width="1.7109375" style="33" customWidth="1"/>
    <col min="3" max="3" width="11.7109375" style="33" customWidth="1"/>
    <col min="4" max="4" width="1.7109375" style="33" hidden="1" customWidth="1"/>
    <col min="5" max="5" width="11.7109375" style="33" hidden="1" customWidth="1"/>
    <col min="6" max="6" width="1.28515625" style="33" customWidth="1"/>
    <col min="7" max="7" width="11.7109375" style="33" customWidth="1"/>
    <col min="8" max="8" width="1.28515625" style="33" customWidth="1"/>
    <col min="9" max="9" width="11.7109375" style="33" customWidth="1"/>
    <col min="10" max="10" width="1.28515625" style="33" customWidth="1"/>
    <col min="11" max="11" width="11.7109375" style="33" customWidth="1"/>
    <col min="12" max="12" width="1.28515625" style="33" customWidth="1"/>
    <col min="13" max="13" width="12.7109375" style="81" customWidth="1"/>
    <col min="14" max="14" width="1.28515625" style="33" customWidth="1"/>
    <col min="15" max="15" width="11.7109375" style="33" customWidth="1"/>
    <col min="16" max="16" width="1.140625" style="33" customWidth="1"/>
    <col min="17" max="17" width="11.7109375" style="33" customWidth="1"/>
    <col min="18" max="18" width="1.140625" style="33" customWidth="1"/>
    <col min="19" max="19" width="11.7109375" style="33" customWidth="1"/>
    <col min="20" max="20" width="1.140625" style="33" customWidth="1"/>
    <col min="21" max="21" width="11.7109375" style="33" customWidth="1"/>
    <col min="22" max="22" width="1.140625" style="33" customWidth="1"/>
    <col min="23" max="23" width="11.7109375" style="33" customWidth="1"/>
    <col min="24" max="24" width="1.140625" style="33" customWidth="1"/>
    <col min="25" max="25" width="11.7109375" style="33" customWidth="1"/>
    <col min="26" max="26" width="1.140625" style="33" customWidth="1"/>
    <col min="27" max="27" width="11.7109375" style="33" customWidth="1"/>
    <col min="28" max="28" width="1.140625" style="33" customWidth="1"/>
    <col min="29" max="29" width="12.140625" style="33" customWidth="1"/>
    <col min="30" max="30" width="1.140625" style="33" customWidth="1"/>
    <col min="31" max="31" width="40.7109375" style="33" customWidth="1"/>
    <col min="32" max="32" width="1.7109375" style="33" customWidth="1"/>
    <col min="33" max="33" width="11.7109375" style="33" customWidth="1"/>
    <col min="34" max="34" width="1.28515625" style="33" customWidth="1"/>
    <col min="35" max="35" width="11.7109375" style="33" customWidth="1"/>
    <col min="36" max="36" width="1.28515625" style="33" customWidth="1"/>
    <col min="37" max="37" width="11.7109375" style="33" customWidth="1"/>
    <col min="38" max="38" width="1.28515625" style="33" hidden="1" customWidth="1"/>
    <col min="39" max="39" width="9.7109375" style="33" hidden="1" customWidth="1"/>
    <col min="40" max="40" width="1.28515625" style="33" customWidth="1"/>
    <col min="41" max="41" width="12.7109375" style="33" customWidth="1"/>
    <col min="42" max="42" width="1.28515625" style="33" customWidth="1"/>
    <col min="43" max="43" width="10.7109375" style="33" customWidth="1"/>
    <col min="44" max="44" width="1.28515625" style="33" customWidth="1"/>
    <col min="45" max="45" width="10.7109375" style="33" customWidth="1"/>
    <col min="46" max="46" width="1.28515625" style="33" customWidth="1"/>
    <col min="47" max="47" width="10.7109375" style="33" customWidth="1"/>
    <col min="48" max="48" width="1.28515625" style="33" customWidth="1"/>
    <col min="49" max="49" width="11.7109375" style="33" customWidth="1"/>
    <col min="50" max="50" width="1.7109375" style="33" hidden="1" customWidth="1"/>
    <col min="51" max="51" width="11.7109375" style="33" hidden="1" customWidth="1"/>
    <col min="52" max="52" width="1.28515625" style="33" customWidth="1"/>
    <col min="53" max="53" width="9.7109375" style="33" customWidth="1"/>
    <col min="54" max="54" width="1.28515625" style="33" customWidth="1"/>
    <col min="55" max="55" width="10.7109375" style="36" customWidth="1"/>
    <col min="56" max="56" width="1.28515625" style="36" customWidth="1"/>
    <col min="57" max="57" width="10.7109375" style="36" customWidth="1"/>
    <col min="58" max="58" width="1.28515625" style="36" customWidth="1"/>
    <col min="59" max="59" width="11.7109375" style="36" customWidth="1"/>
    <col min="60" max="60" width="1.28515625" style="36" customWidth="1"/>
    <col min="61" max="61" width="10.7109375" style="36" customWidth="1"/>
    <col min="62" max="62" width="1.7109375" style="36" customWidth="1"/>
    <col min="63" max="63" width="11.7109375" style="36" customWidth="1"/>
    <col min="64" max="64" width="1.7109375" style="36" customWidth="1"/>
    <col min="65" max="65" width="2.5703125" style="36" customWidth="1"/>
    <col min="66" max="66" width="25" style="36" customWidth="1"/>
    <col min="67" max="67" width="15.7109375" style="16" customWidth="1"/>
    <col min="68" max="68" width="15.42578125" style="16" customWidth="1"/>
    <col min="69" max="69" width="13.7109375" style="16" customWidth="1"/>
    <col min="70" max="70" width="9.140625" style="33"/>
    <col min="71" max="72" width="9.140625" style="16"/>
    <col min="73" max="16384" width="9.140625" style="33"/>
  </cols>
  <sheetData>
    <row r="1" spans="1:72">
      <c r="A1" s="19" t="s">
        <v>278</v>
      </c>
      <c r="M1" s="32"/>
      <c r="AE1" s="19" t="s">
        <v>278</v>
      </c>
    </row>
    <row r="2" spans="1:72" s="16" customFormat="1">
      <c r="A2" s="19" t="s">
        <v>298</v>
      </c>
      <c r="B2" s="19"/>
      <c r="C2" s="19"/>
      <c r="D2" s="19"/>
      <c r="E2" s="19"/>
      <c r="F2" s="3"/>
      <c r="G2" s="3"/>
      <c r="H2" s="3"/>
      <c r="I2" s="3"/>
      <c r="J2" s="3"/>
      <c r="K2" s="3"/>
      <c r="L2" s="3"/>
      <c r="M2" s="3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9" t="s">
        <v>298</v>
      </c>
      <c r="AF2" s="19"/>
      <c r="AG2" s="19"/>
      <c r="AH2" s="19"/>
      <c r="AI2" s="3"/>
      <c r="AJ2" s="3"/>
      <c r="AK2" s="3"/>
      <c r="AL2" s="3"/>
      <c r="AM2" s="3"/>
      <c r="AN2" s="19"/>
      <c r="AO2" s="19"/>
      <c r="AP2" s="3"/>
      <c r="AQ2" s="3"/>
      <c r="AR2" s="3"/>
      <c r="AS2" s="3"/>
      <c r="AT2" s="3"/>
      <c r="AU2" s="3"/>
      <c r="AV2" s="3"/>
      <c r="AW2" s="3"/>
      <c r="AX2" s="3"/>
      <c r="AY2" s="49" t="s">
        <v>54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72" s="16" customFormat="1">
      <c r="A3" s="52" t="s">
        <v>266</v>
      </c>
      <c r="F3" s="3"/>
      <c r="G3" s="3"/>
      <c r="H3" s="3"/>
      <c r="I3" s="3"/>
      <c r="J3" s="3"/>
      <c r="K3" s="3"/>
      <c r="L3" s="3"/>
      <c r="M3" s="32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2" t="s">
        <v>266</v>
      </c>
      <c r="AI3" s="3"/>
      <c r="AJ3" s="3"/>
      <c r="AK3" s="3"/>
      <c r="AL3" s="3"/>
      <c r="AM3" s="3"/>
      <c r="AP3" s="3"/>
      <c r="AQ3" s="3"/>
      <c r="AR3" s="3"/>
      <c r="AS3" s="3"/>
      <c r="AT3" s="3"/>
      <c r="AU3" s="3"/>
      <c r="AV3" s="3"/>
      <c r="AW3" s="3"/>
      <c r="AX3" s="3"/>
      <c r="AY3" s="49" t="s">
        <v>55</v>
      </c>
      <c r="AZ3" s="3"/>
      <c r="BA3" s="3"/>
      <c r="BB3" s="3"/>
      <c r="BC3" s="3"/>
      <c r="BD3" s="3"/>
      <c r="BE3" s="3"/>
      <c r="BF3" s="3"/>
      <c r="BG3" s="3"/>
      <c r="BH3" s="3"/>
      <c r="BI3" s="3"/>
      <c r="BJ3" s="60" t="s">
        <v>266</v>
      </c>
      <c r="BK3" s="3"/>
      <c r="BL3" s="3"/>
      <c r="BM3" s="3"/>
      <c r="BN3" s="3"/>
    </row>
    <row r="4" spans="1:72" s="16" customFormat="1" ht="12.75" customHeight="1">
      <c r="A4" s="7" t="s">
        <v>269</v>
      </c>
      <c r="B4" s="19"/>
      <c r="C4" s="19"/>
      <c r="D4" s="19"/>
      <c r="E4" s="19"/>
      <c r="F4" s="3"/>
      <c r="G4" s="3"/>
      <c r="H4" s="3"/>
      <c r="I4" s="3"/>
      <c r="J4" s="3"/>
      <c r="K4" s="3"/>
      <c r="L4" s="3"/>
      <c r="M4" s="3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19" t="s">
        <v>267</v>
      </c>
      <c r="AF4" s="19"/>
      <c r="AG4" s="19"/>
      <c r="AH4" s="19"/>
      <c r="AI4" s="3"/>
      <c r="AJ4" s="3"/>
      <c r="AK4" s="3"/>
      <c r="AL4" s="3"/>
      <c r="AM4" s="3"/>
      <c r="AN4" s="19"/>
      <c r="AO4" s="19"/>
      <c r="AP4" s="3"/>
      <c r="AQ4" s="3"/>
      <c r="AR4" s="3"/>
      <c r="AS4" s="3"/>
      <c r="AT4" s="3"/>
      <c r="AU4" s="3"/>
      <c r="AV4" s="3"/>
      <c r="AW4" s="3"/>
      <c r="AX4" s="3"/>
      <c r="AY4" s="49" t="s">
        <v>56</v>
      </c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</row>
    <row r="5" spans="1:72" s="16" customFormat="1" ht="12.75" customHeight="1">
      <c r="A5" s="3"/>
      <c r="B5" s="3"/>
      <c r="C5" s="3"/>
      <c r="D5" s="19"/>
      <c r="E5" s="19"/>
      <c r="F5" s="3"/>
      <c r="G5" s="3"/>
      <c r="H5" s="3"/>
      <c r="I5" s="3"/>
      <c r="J5" s="3"/>
      <c r="K5" s="3"/>
      <c r="L5" s="3"/>
      <c r="M5" s="3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9"/>
      <c r="AF5" s="19"/>
      <c r="AG5" s="19"/>
      <c r="AH5" s="19"/>
      <c r="AI5" s="3"/>
      <c r="AJ5" s="3"/>
      <c r="AK5" s="3"/>
      <c r="AL5" s="3"/>
      <c r="AM5" s="3"/>
      <c r="AN5" s="19"/>
      <c r="AO5" s="19"/>
      <c r="AP5" s="3"/>
      <c r="AQ5" s="3"/>
      <c r="AR5" s="3"/>
      <c r="AS5" s="3"/>
      <c r="AT5" s="3"/>
      <c r="AU5" s="3"/>
      <c r="AV5" s="3"/>
      <c r="AW5" s="3"/>
      <c r="AX5" s="3"/>
      <c r="AY5" s="49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72" s="7" customFormat="1">
      <c r="A6" s="35" t="s">
        <v>378</v>
      </c>
      <c r="B6" s="5"/>
      <c r="C6" s="5"/>
      <c r="D6" s="5"/>
      <c r="E6" s="5"/>
      <c r="F6" s="85"/>
      <c r="G6" s="85"/>
      <c r="H6" s="85"/>
      <c r="I6" s="85"/>
      <c r="J6" s="85"/>
      <c r="K6" s="85"/>
      <c r="L6" s="85"/>
      <c r="M6" s="48"/>
      <c r="N6" s="37"/>
      <c r="O6" s="11" t="s">
        <v>57</v>
      </c>
      <c r="P6" s="85"/>
      <c r="Q6" s="85"/>
      <c r="R6" s="85"/>
      <c r="S6" s="85"/>
      <c r="T6" s="85"/>
      <c r="U6" s="85"/>
      <c r="V6" s="85"/>
      <c r="W6" s="85"/>
      <c r="AD6" s="42"/>
      <c r="AE6" s="35" t="s">
        <v>378</v>
      </c>
      <c r="AF6" s="5"/>
      <c r="AG6" s="5"/>
      <c r="AH6" s="5"/>
    </row>
    <row r="7" spans="1:72" s="16" customFormat="1">
      <c r="A7" s="77"/>
      <c r="B7" s="19"/>
      <c r="C7" s="19"/>
      <c r="D7" s="19"/>
      <c r="E7" s="19"/>
      <c r="F7" s="3"/>
      <c r="G7" s="101" t="s">
        <v>57</v>
      </c>
      <c r="H7" s="101"/>
      <c r="I7" s="101"/>
      <c r="J7" s="101"/>
      <c r="K7" s="101"/>
      <c r="L7" s="101"/>
      <c r="M7" s="101"/>
      <c r="N7" s="48"/>
      <c r="O7" s="43" t="s">
        <v>428</v>
      </c>
      <c r="P7" s="3"/>
      <c r="Q7" s="101" t="s">
        <v>58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5"/>
      <c r="AE7" s="77"/>
      <c r="AF7" s="2"/>
      <c r="AG7" s="2"/>
      <c r="AH7" s="2"/>
      <c r="AI7" s="43" t="s">
        <v>429</v>
      </c>
      <c r="AJ7" s="43"/>
      <c r="AK7" s="43"/>
      <c r="AL7" s="43"/>
      <c r="AM7" s="43"/>
      <c r="AN7" s="3"/>
      <c r="AO7" s="101" t="s">
        <v>296</v>
      </c>
      <c r="AP7" s="101"/>
      <c r="AQ7" s="101"/>
      <c r="AR7" s="3"/>
      <c r="AS7" s="3"/>
      <c r="AT7" s="3"/>
      <c r="AU7" s="3"/>
      <c r="AV7" s="3"/>
      <c r="AW7" s="3"/>
      <c r="AX7" s="3"/>
      <c r="AY7" s="11" t="s">
        <v>6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11" t="s">
        <v>3</v>
      </c>
      <c r="BL7" s="3"/>
      <c r="BM7" s="3"/>
      <c r="BN7" s="3"/>
    </row>
    <row r="8" spans="1:72" s="22" customFormat="1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2"/>
      <c r="N8" s="23"/>
      <c r="S8" s="11"/>
      <c r="T8" s="11"/>
      <c r="U8" s="11"/>
      <c r="V8" s="11"/>
      <c r="W8" s="11"/>
      <c r="X8" s="11"/>
      <c r="Y8" s="11"/>
      <c r="Z8" s="11"/>
      <c r="AA8" s="11"/>
      <c r="AB8" s="11"/>
      <c r="AC8" s="11" t="s">
        <v>59</v>
      </c>
      <c r="AD8" s="2"/>
      <c r="AE8" s="35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 t="s">
        <v>60</v>
      </c>
      <c r="AZ8" s="11"/>
      <c r="BA8" s="11"/>
      <c r="BB8" s="11"/>
      <c r="BC8" s="11"/>
      <c r="BD8" s="11"/>
      <c r="BF8" s="11"/>
      <c r="BG8" s="11" t="s">
        <v>3</v>
      </c>
      <c r="BH8" s="11"/>
      <c r="BI8" s="11" t="s">
        <v>3</v>
      </c>
      <c r="BJ8" s="11"/>
      <c r="BK8" s="11" t="s">
        <v>61</v>
      </c>
      <c r="BL8" s="11"/>
      <c r="BM8" s="11"/>
      <c r="BN8" s="11"/>
    </row>
    <row r="9" spans="1:72" s="22" customFormat="1">
      <c r="B9" s="9"/>
      <c r="C9" s="9"/>
      <c r="D9" s="9"/>
      <c r="E9" s="9"/>
      <c r="F9" s="11"/>
      <c r="G9" s="2"/>
      <c r="H9" s="2"/>
      <c r="I9" s="2"/>
      <c r="J9" s="2"/>
      <c r="K9" s="2"/>
      <c r="L9" s="2"/>
      <c r="N9" s="2"/>
      <c r="O9" s="2"/>
      <c r="P9" s="2"/>
      <c r="Q9" s="2"/>
      <c r="R9" s="2"/>
      <c r="S9" s="2" t="s">
        <v>62</v>
      </c>
      <c r="T9" s="2"/>
      <c r="U9" s="2" t="s">
        <v>63</v>
      </c>
      <c r="V9" s="2"/>
      <c r="W9" s="2"/>
      <c r="X9" s="2"/>
      <c r="Y9" s="2"/>
      <c r="Z9" s="2"/>
      <c r="AA9" s="2"/>
      <c r="AB9" s="2"/>
      <c r="AC9" s="2" t="s">
        <v>64</v>
      </c>
      <c r="AD9" s="2"/>
      <c r="AF9" s="2"/>
      <c r="AG9" s="2"/>
      <c r="AH9" s="2"/>
      <c r="AI9" s="2" t="s">
        <v>65</v>
      </c>
      <c r="AJ9" s="2"/>
      <c r="AK9" s="2"/>
      <c r="AL9" s="2"/>
      <c r="AM9" s="2"/>
      <c r="AN9" s="2"/>
      <c r="AO9" s="11" t="s">
        <v>66</v>
      </c>
      <c r="AP9" s="11"/>
      <c r="AS9" s="22" t="s">
        <v>67</v>
      </c>
      <c r="AW9" s="22" t="s">
        <v>68</v>
      </c>
      <c r="AY9" s="22" t="s">
        <v>69</v>
      </c>
      <c r="BA9" s="22" t="s">
        <v>70</v>
      </c>
      <c r="BC9" s="2" t="s">
        <v>8</v>
      </c>
      <c r="BD9" s="11"/>
      <c r="BE9" s="11" t="s">
        <v>118</v>
      </c>
      <c r="BF9" s="11"/>
      <c r="BG9" s="2" t="s">
        <v>71</v>
      </c>
      <c r="BH9" s="11"/>
      <c r="BI9" s="11" t="s">
        <v>72</v>
      </c>
      <c r="BJ9" s="11"/>
      <c r="BK9" s="11" t="s">
        <v>73</v>
      </c>
      <c r="BL9" s="11"/>
      <c r="BM9" s="11"/>
      <c r="BN9" s="11"/>
    </row>
    <row r="10" spans="1:72" s="22" customFormat="1">
      <c r="A10" s="54" t="s">
        <v>295</v>
      </c>
      <c r="C10" s="54" t="s">
        <v>12</v>
      </c>
      <c r="E10" s="54" t="s">
        <v>13</v>
      </c>
      <c r="F10" s="11"/>
      <c r="G10" s="10" t="s">
        <v>432</v>
      </c>
      <c r="H10" s="11"/>
      <c r="I10" s="10" t="s">
        <v>74</v>
      </c>
      <c r="J10" s="11"/>
      <c r="K10" s="10" t="s">
        <v>75</v>
      </c>
      <c r="L10" s="2"/>
      <c r="M10" s="10" t="s">
        <v>379</v>
      </c>
      <c r="N10" s="2"/>
      <c r="O10" s="10" t="s">
        <v>85</v>
      </c>
      <c r="P10" s="11"/>
      <c r="Q10" s="10" t="s">
        <v>431</v>
      </c>
      <c r="R10" s="11"/>
      <c r="S10" s="10" t="s">
        <v>76</v>
      </c>
      <c r="T10" s="11"/>
      <c r="U10" s="10" t="s">
        <v>77</v>
      </c>
      <c r="V10" s="11"/>
      <c r="W10" s="10" t="s">
        <v>78</v>
      </c>
      <c r="X10" s="11"/>
      <c r="Y10" s="10" t="s">
        <v>79</v>
      </c>
      <c r="Z10" s="2"/>
      <c r="AA10" s="84" t="s">
        <v>80</v>
      </c>
      <c r="AB10" s="11"/>
      <c r="AC10" s="10" t="s">
        <v>81</v>
      </c>
      <c r="AD10" s="2"/>
      <c r="AE10" s="54" t="s">
        <v>295</v>
      </c>
      <c r="AG10" s="54" t="s">
        <v>12</v>
      </c>
      <c r="AH10" s="23"/>
      <c r="AI10" s="84" t="s">
        <v>82</v>
      </c>
      <c r="AJ10" s="2"/>
      <c r="AK10" s="84" t="s">
        <v>83</v>
      </c>
      <c r="AL10" s="11"/>
      <c r="AM10" s="84" t="s">
        <v>85</v>
      </c>
      <c r="AN10" s="11"/>
      <c r="AO10" s="84" t="s">
        <v>84</v>
      </c>
      <c r="AP10" s="11"/>
      <c r="AQ10" s="54" t="s">
        <v>85</v>
      </c>
      <c r="AR10" s="23"/>
      <c r="AS10" s="54" t="s">
        <v>51</v>
      </c>
      <c r="AT10" s="23"/>
      <c r="AU10" s="54" t="s">
        <v>86</v>
      </c>
      <c r="AV10" s="23"/>
      <c r="AW10" s="54" t="s">
        <v>87</v>
      </c>
      <c r="AX10" s="23"/>
      <c r="AY10" s="54" t="s">
        <v>88</v>
      </c>
      <c r="AZ10" s="23"/>
      <c r="BA10" s="54" t="s">
        <v>89</v>
      </c>
      <c r="BB10" s="23"/>
      <c r="BC10" s="54" t="s">
        <v>89</v>
      </c>
      <c r="BD10" s="2"/>
      <c r="BE10" s="84" t="s">
        <v>3</v>
      </c>
      <c r="BF10" s="11"/>
      <c r="BG10" s="84" t="s">
        <v>90</v>
      </c>
      <c r="BH10" s="11"/>
      <c r="BI10" s="84" t="s">
        <v>91</v>
      </c>
      <c r="BJ10" s="11"/>
      <c r="BK10" s="84" t="s">
        <v>20</v>
      </c>
      <c r="BL10" s="11"/>
      <c r="BM10" s="11"/>
      <c r="BN10" s="11"/>
      <c r="BO10" s="60" t="s">
        <v>349</v>
      </c>
      <c r="BP10" s="60" t="s">
        <v>358</v>
      </c>
      <c r="BS10" s="60" t="s">
        <v>365</v>
      </c>
      <c r="BT10" s="60" t="s">
        <v>368</v>
      </c>
    </row>
    <row r="11" spans="1:72">
      <c r="M11" s="78"/>
      <c r="N11" s="34"/>
      <c r="AD11" s="34"/>
      <c r="BE11" s="3"/>
    </row>
    <row r="12" spans="1:72">
      <c r="A12" s="38" t="s">
        <v>264</v>
      </c>
      <c r="M12" s="32"/>
      <c r="AE12" s="38" t="s">
        <v>264</v>
      </c>
    </row>
    <row r="13" spans="1:72">
      <c r="A13" s="38"/>
      <c r="M13" s="32"/>
      <c r="AE13" s="38"/>
    </row>
    <row r="14" spans="1:72">
      <c r="A14" s="3" t="s">
        <v>306</v>
      </c>
      <c r="B14" s="3"/>
      <c r="C14" s="3" t="s">
        <v>272</v>
      </c>
      <c r="G14" s="20">
        <v>381937</v>
      </c>
      <c r="H14" s="20"/>
      <c r="I14" s="20">
        <v>165559</v>
      </c>
      <c r="J14" s="20"/>
      <c r="K14" s="20">
        <v>6266443</v>
      </c>
      <c r="L14" s="20"/>
      <c r="M14" s="78">
        <v>128270</v>
      </c>
      <c r="N14" s="20"/>
      <c r="O14" s="20">
        <v>0</v>
      </c>
      <c r="P14" s="20"/>
      <c r="Q14" s="20">
        <v>686613</v>
      </c>
      <c r="R14" s="20"/>
      <c r="S14" s="20">
        <v>657459</v>
      </c>
      <c r="T14" s="20"/>
      <c r="U14" s="20">
        <v>47876</v>
      </c>
      <c r="V14" s="20"/>
      <c r="W14" s="20">
        <v>846576</v>
      </c>
      <c r="X14" s="20"/>
      <c r="Y14" s="20">
        <v>470528</v>
      </c>
      <c r="Z14" s="20"/>
      <c r="AA14" s="20">
        <v>0</v>
      </c>
      <c r="AB14" s="20"/>
      <c r="AC14" s="20">
        <v>1168805</v>
      </c>
      <c r="AD14" s="20"/>
      <c r="AE14" s="3" t="s">
        <v>306</v>
      </c>
      <c r="AF14" s="3"/>
      <c r="AG14" s="3" t="s">
        <v>272</v>
      </c>
      <c r="AH14" s="3"/>
      <c r="AI14" s="20">
        <v>31025</v>
      </c>
      <c r="AJ14" s="20"/>
      <c r="AK14" s="20">
        <v>586128</v>
      </c>
      <c r="AL14" s="20"/>
      <c r="AM14" s="20">
        <v>0</v>
      </c>
      <c r="AN14" s="92"/>
      <c r="AO14" s="20">
        <v>0</v>
      </c>
      <c r="AP14" s="20"/>
      <c r="AQ14" s="20">
        <v>331345</v>
      </c>
      <c r="AR14" s="20"/>
      <c r="AS14" s="20">
        <v>30581</v>
      </c>
      <c r="AT14" s="20"/>
      <c r="AU14" s="20">
        <v>0</v>
      </c>
      <c r="AV14" s="20"/>
      <c r="AW14" s="20">
        <v>0</v>
      </c>
      <c r="AX14" s="20"/>
      <c r="AY14" s="20">
        <v>0</v>
      </c>
      <c r="AZ14" s="20"/>
      <c r="BA14" s="20">
        <v>0</v>
      </c>
      <c r="BB14" s="20"/>
      <c r="BC14" s="20">
        <f>SUM(G14:BB14)</f>
        <v>11799145</v>
      </c>
      <c r="BD14" s="20"/>
      <c r="BE14" s="20">
        <f>+'St of Act-Rev'!AG14-BC14</f>
        <v>465518</v>
      </c>
      <c r="BF14" s="20"/>
      <c r="BG14" s="20">
        <v>9086547</v>
      </c>
      <c r="BH14" s="20"/>
      <c r="BI14" s="20">
        <f>+BE14+BG14</f>
        <v>9552065</v>
      </c>
      <c r="BK14" s="3">
        <f>+'St of Net Assets'!AA14-BI14</f>
        <v>0</v>
      </c>
      <c r="BN14" s="16" t="s">
        <v>303</v>
      </c>
      <c r="BO14" s="3" t="str">
        <f>A14</f>
        <v>Apollo Career Center</v>
      </c>
      <c r="BP14" s="3" t="str">
        <f>AE14</f>
        <v>Apollo Career Center</v>
      </c>
      <c r="BQ14" s="16" t="b">
        <f t="shared" ref="BQ14:BQ45" si="0">BO14=BP14</f>
        <v>1</v>
      </c>
      <c r="BS14" s="3" t="str">
        <f t="shared" ref="BS14:BS45" si="1">C14</f>
        <v>Allen</v>
      </c>
      <c r="BT14" s="3" t="b">
        <f t="shared" ref="BT14:BT45" si="2">C14=AG14</f>
        <v>1</v>
      </c>
    </row>
    <row r="15" spans="1:72">
      <c r="A15" s="3" t="s">
        <v>249</v>
      </c>
      <c r="B15" s="16"/>
      <c r="C15" s="16" t="s">
        <v>146</v>
      </c>
      <c r="E15" s="16">
        <v>62042</v>
      </c>
      <c r="G15" s="3">
        <v>627718</v>
      </c>
      <c r="H15" s="3"/>
      <c r="I15" s="3">
        <v>308152</v>
      </c>
      <c r="J15" s="3"/>
      <c r="K15" s="3">
        <v>2684978</v>
      </c>
      <c r="L15" s="3"/>
      <c r="M15" s="32">
        <v>1263550</v>
      </c>
      <c r="N15" s="3"/>
      <c r="O15" s="3">
        <f>519+1326</f>
        <v>1845</v>
      </c>
      <c r="P15" s="3"/>
      <c r="Q15" s="3">
        <v>150445</v>
      </c>
      <c r="R15" s="3"/>
      <c r="S15" s="3">
        <v>184671</v>
      </c>
      <c r="T15" s="3"/>
      <c r="U15" s="3">
        <v>48304</v>
      </c>
      <c r="V15" s="3"/>
      <c r="W15" s="3">
        <v>698009</v>
      </c>
      <c r="X15" s="3"/>
      <c r="Y15" s="3">
        <v>393174</v>
      </c>
      <c r="Z15" s="3"/>
      <c r="AA15" s="3">
        <v>3706</v>
      </c>
      <c r="AB15" s="3"/>
      <c r="AC15" s="3">
        <v>710157</v>
      </c>
      <c r="AD15" s="20"/>
      <c r="AE15" s="3" t="s">
        <v>249</v>
      </c>
      <c r="AF15" s="3"/>
      <c r="AG15" s="3" t="s">
        <v>146</v>
      </c>
      <c r="AH15" s="3"/>
      <c r="AI15" s="3">
        <v>6584</v>
      </c>
      <c r="AJ15" s="3"/>
      <c r="AK15" s="3">
        <v>231991</v>
      </c>
      <c r="AL15" s="3"/>
      <c r="AM15" s="3">
        <v>0</v>
      </c>
      <c r="AN15" s="36"/>
      <c r="AO15" s="3">
        <v>127016</v>
      </c>
      <c r="AP15" s="3"/>
      <c r="AQ15" s="3">
        <v>163086</v>
      </c>
      <c r="AR15" s="3"/>
      <c r="AS15" s="3">
        <v>25931</v>
      </c>
      <c r="AT15" s="3"/>
      <c r="AU15" s="3">
        <v>42454</v>
      </c>
      <c r="AV15" s="3"/>
      <c r="AW15" s="3">
        <v>0</v>
      </c>
      <c r="AX15" s="3"/>
      <c r="AY15" s="3">
        <v>0</v>
      </c>
      <c r="AZ15" s="3"/>
      <c r="BA15" s="3">
        <v>394</v>
      </c>
      <c r="BB15" s="3"/>
      <c r="BC15" s="3">
        <f t="shared" ref="BC15:BC64" si="3">SUM(G15:BB15)</f>
        <v>7672165</v>
      </c>
      <c r="BD15" s="3"/>
      <c r="BE15" s="3">
        <f>+'St of Act-Rev'!AG15-BC15</f>
        <v>980979</v>
      </c>
      <c r="BF15" s="3"/>
      <c r="BG15" s="3">
        <v>9653948</v>
      </c>
      <c r="BH15" s="3"/>
      <c r="BI15" s="3">
        <f>+BE15+BG15</f>
        <v>10634927</v>
      </c>
      <c r="BK15" s="3">
        <f>+'St of Net Assets'!AA15-BI15</f>
        <v>0</v>
      </c>
      <c r="BN15" s="3"/>
      <c r="BO15" s="3" t="str">
        <f t="shared" ref="BO15:BO79" si="4">A15</f>
        <v>Ashland County-West Holmes JVSD</v>
      </c>
      <c r="BP15" s="3" t="str">
        <f t="shared" ref="BP15:BP78" si="5">AE15</f>
        <v>Ashland County-West Holmes JVSD</v>
      </c>
      <c r="BQ15" s="16" t="b">
        <f t="shared" si="0"/>
        <v>1</v>
      </c>
      <c r="BS15" s="3" t="str">
        <f t="shared" si="1"/>
        <v>Ashland</v>
      </c>
      <c r="BT15" s="3" t="b">
        <f t="shared" si="2"/>
        <v>1</v>
      </c>
    </row>
    <row r="16" spans="1:72">
      <c r="A16" s="3" t="s">
        <v>210</v>
      </c>
      <c r="B16" s="16"/>
      <c r="C16" s="16" t="s">
        <v>147</v>
      </c>
      <c r="E16" s="16">
        <v>50815</v>
      </c>
      <c r="G16" s="3">
        <v>898115</v>
      </c>
      <c r="H16" s="3"/>
      <c r="I16" s="3">
        <v>401249</v>
      </c>
      <c r="J16" s="3"/>
      <c r="K16" s="3">
        <v>8409628</v>
      </c>
      <c r="L16" s="3"/>
      <c r="M16" s="32">
        <v>324140</v>
      </c>
      <c r="N16" s="3"/>
      <c r="O16" s="3">
        <v>306899</v>
      </c>
      <c r="P16" s="3"/>
      <c r="Q16" s="3">
        <v>573225</v>
      </c>
      <c r="R16" s="3"/>
      <c r="S16" s="3">
        <v>1584836</v>
      </c>
      <c r="T16" s="3"/>
      <c r="U16" s="3">
        <v>40396</v>
      </c>
      <c r="V16" s="3"/>
      <c r="W16" s="3">
        <v>1016080</v>
      </c>
      <c r="X16" s="3"/>
      <c r="Y16" s="3">
        <v>412672</v>
      </c>
      <c r="Z16" s="3"/>
      <c r="AA16" s="3">
        <v>65833</v>
      </c>
      <c r="AB16" s="3"/>
      <c r="AC16" s="3">
        <v>1134774</v>
      </c>
      <c r="AD16" s="3"/>
      <c r="AE16" s="3" t="s">
        <v>210</v>
      </c>
      <c r="AF16" s="16"/>
      <c r="AG16" s="16" t="s">
        <v>147</v>
      </c>
      <c r="AH16" s="16"/>
      <c r="AI16" s="3">
        <v>17407</v>
      </c>
      <c r="AJ16" s="3"/>
      <c r="AK16" s="3">
        <v>33706</v>
      </c>
      <c r="AL16" s="3"/>
      <c r="AM16" s="3">
        <v>0</v>
      </c>
      <c r="AN16" s="3"/>
      <c r="AO16" s="3">
        <v>278972</v>
      </c>
      <c r="AP16" s="3"/>
      <c r="AQ16" s="3">
        <v>9259</v>
      </c>
      <c r="AR16" s="3"/>
      <c r="AS16" s="3">
        <v>24532</v>
      </c>
      <c r="AT16" s="3"/>
      <c r="AU16" s="3">
        <v>0</v>
      </c>
      <c r="AV16" s="3"/>
      <c r="AW16" s="3">
        <v>0</v>
      </c>
      <c r="AX16" s="3"/>
      <c r="AY16" s="3">
        <v>0</v>
      </c>
      <c r="AZ16" s="3"/>
      <c r="BA16" s="3">
        <v>0</v>
      </c>
      <c r="BB16" s="3"/>
      <c r="BC16" s="3">
        <f t="shared" si="3"/>
        <v>15531723</v>
      </c>
      <c r="BD16" s="3"/>
      <c r="BE16" s="3">
        <f>+'St of Act-Rev'!AG16-BC16</f>
        <v>147327</v>
      </c>
      <c r="BF16" s="3"/>
      <c r="BG16" s="3">
        <v>15619863</v>
      </c>
      <c r="BH16" s="3"/>
      <c r="BI16" s="3">
        <f t="shared" ref="BI16:BI64" si="6">+BE16+BG16</f>
        <v>15767190</v>
      </c>
      <c r="BK16" s="3">
        <f>+'St of Net Assets'!AA16-BI16</f>
        <v>0</v>
      </c>
      <c r="BN16" s="3"/>
      <c r="BO16" s="3" t="str">
        <f t="shared" si="4"/>
        <v>Ashtabula County JVSD</v>
      </c>
      <c r="BP16" s="3" t="str">
        <f t="shared" si="5"/>
        <v>Ashtabula County JVSD</v>
      </c>
      <c r="BQ16" s="16" t="b">
        <f t="shared" si="0"/>
        <v>1</v>
      </c>
      <c r="BS16" s="3" t="str">
        <f t="shared" si="1"/>
        <v>Ashtabula</v>
      </c>
      <c r="BT16" s="3" t="b">
        <f t="shared" si="2"/>
        <v>1</v>
      </c>
    </row>
    <row r="17" spans="1:72">
      <c r="A17" s="3" t="s">
        <v>325</v>
      </c>
      <c r="B17" s="16"/>
      <c r="C17" s="16" t="s">
        <v>149</v>
      </c>
      <c r="E17" s="16">
        <v>51169</v>
      </c>
      <c r="G17" s="3">
        <v>0</v>
      </c>
      <c r="H17" s="3"/>
      <c r="I17" s="3">
        <v>696458</v>
      </c>
      <c r="J17" s="3"/>
      <c r="K17" s="3">
        <v>4336077</v>
      </c>
      <c r="L17" s="3"/>
      <c r="M17" s="32">
        <v>1101619</v>
      </c>
      <c r="N17" s="3"/>
      <c r="O17" s="3">
        <v>0</v>
      </c>
      <c r="P17" s="3"/>
      <c r="Q17" s="3">
        <v>963709</v>
      </c>
      <c r="R17" s="3"/>
      <c r="S17" s="3">
        <v>204229</v>
      </c>
      <c r="T17" s="3"/>
      <c r="U17" s="3">
        <v>258842</v>
      </c>
      <c r="V17" s="3"/>
      <c r="W17" s="3">
        <v>1433843</v>
      </c>
      <c r="X17" s="3"/>
      <c r="Y17" s="3">
        <v>543128</v>
      </c>
      <c r="Z17" s="3"/>
      <c r="AA17" s="3">
        <v>1920</v>
      </c>
      <c r="AB17" s="3"/>
      <c r="AC17" s="3">
        <v>1384450</v>
      </c>
      <c r="AD17" s="3"/>
      <c r="AE17" s="3" t="s">
        <v>325</v>
      </c>
      <c r="AF17" s="16"/>
      <c r="AG17" s="16" t="s">
        <v>149</v>
      </c>
      <c r="AH17" s="16"/>
      <c r="AI17" s="3">
        <v>17622</v>
      </c>
      <c r="AJ17" s="3"/>
      <c r="AK17" s="3">
        <v>567953</v>
      </c>
      <c r="AL17" s="3"/>
      <c r="AM17" s="3">
        <v>0</v>
      </c>
      <c r="AN17" s="3"/>
      <c r="AO17" s="3">
        <v>0</v>
      </c>
      <c r="AP17" s="3"/>
      <c r="AQ17" s="3">
        <v>216839</v>
      </c>
      <c r="AR17" s="3"/>
      <c r="AS17" s="3">
        <v>847</v>
      </c>
      <c r="AT17" s="3"/>
      <c r="AU17" s="3">
        <v>0</v>
      </c>
      <c r="AV17" s="3"/>
      <c r="AW17" s="3">
        <v>0</v>
      </c>
      <c r="AX17" s="3"/>
      <c r="AY17" s="3">
        <v>0</v>
      </c>
      <c r="AZ17" s="3"/>
      <c r="BA17" s="3">
        <v>0</v>
      </c>
      <c r="BB17" s="3"/>
      <c r="BC17" s="3">
        <f t="shared" si="3"/>
        <v>11727536</v>
      </c>
      <c r="BD17" s="3"/>
      <c r="BE17" s="3">
        <f>+'St of Act-Rev'!AG17-BC17</f>
        <v>-301777</v>
      </c>
      <c r="BF17" s="3"/>
      <c r="BG17" s="3">
        <v>19037682</v>
      </c>
      <c r="BH17" s="3"/>
      <c r="BI17" s="3">
        <f t="shared" si="6"/>
        <v>18735905</v>
      </c>
      <c r="BK17" s="3">
        <f>+'St of Net Assets'!AA17-BI17</f>
        <v>0</v>
      </c>
      <c r="BN17" s="3"/>
      <c r="BO17" s="3" t="str">
        <f t="shared" si="4"/>
        <v>Auburn VSD</v>
      </c>
      <c r="BP17" s="3" t="str">
        <f t="shared" si="5"/>
        <v>Auburn VSD</v>
      </c>
      <c r="BQ17" s="16" t="b">
        <f t="shared" si="0"/>
        <v>1</v>
      </c>
      <c r="BS17" s="3" t="str">
        <f t="shared" si="1"/>
        <v>Lake</v>
      </c>
      <c r="BT17" s="3" t="b">
        <f t="shared" si="2"/>
        <v>1</v>
      </c>
    </row>
    <row r="18" spans="1:72">
      <c r="A18" s="3" t="s">
        <v>326</v>
      </c>
      <c r="B18" s="16"/>
      <c r="C18" s="16" t="s">
        <v>152</v>
      </c>
      <c r="E18" s="16">
        <v>50856</v>
      </c>
      <c r="G18" s="3">
        <v>225116</v>
      </c>
      <c r="H18" s="3"/>
      <c r="I18" s="3">
        <v>0</v>
      </c>
      <c r="J18" s="3"/>
      <c r="K18" s="3">
        <v>3589302</v>
      </c>
      <c r="L18" s="3"/>
      <c r="M18" s="32">
        <v>112</v>
      </c>
      <c r="N18" s="3"/>
      <c r="O18" s="3">
        <v>66492</v>
      </c>
      <c r="P18" s="3"/>
      <c r="Q18" s="3">
        <v>773280</v>
      </c>
      <c r="R18" s="3"/>
      <c r="S18" s="3">
        <v>68053</v>
      </c>
      <c r="T18" s="3"/>
      <c r="U18" s="3">
        <v>37138</v>
      </c>
      <c r="V18" s="3"/>
      <c r="W18" s="3">
        <v>548253</v>
      </c>
      <c r="X18" s="3"/>
      <c r="Y18" s="3">
        <v>268115</v>
      </c>
      <c r="Z18" s="3"/>
      <c r="AA18" s="3">
        <v>0</v>
      </c>
      <c r="AB18" s="3"/>
      <c r="AC18" s="3">
        <v>588813</v>
      </c>
      <c r="AD18" s="3"/>
      <c r="AE18" s="3" t="s">
        <v>326</v>
      </c>
      <c r="AF18" s="16"/>
      <c r="AG18" s="16" t="s">
        <v>152</v>
      </c>
      <c r="AH18" s="16"/>
      <c r="AI18" s="3">
        <v>0</v>
      </c>
      <c r="AJ18" s="3"/>
      <c r="AK18" s="3">
        <v>175565</v>
      </c>
      <c r="AL18" s="3"/>
      <c r="AM18" s="3">
        <v>0</v>
      </c>
      <c r="AN18" s="3"/>
      <c r="AO18" s="3">
        <v>178391</v>
      </c>
      <c r="AP18" s="3"/>
      <c r="AQ18" s="3">
        <v>0</v>
      </c>
      <c r="AR18" s="3"/>
      <c r="AS18" s="3">
        <v>28756</v>
      </c>
      <c r="AT18" s="3"/>
      <c r="AU18" s="3">
        <v>0</v>
      </c>
      <c r="AV18" s="3"/>
      <c r="AW18" s="3">
        <v>0</v>
      </c>
      <c r="AX18" s="3"/>
      <c r="AY18" s="3">
        <v>0</v>
      </c>
      <c r="AZ18" s="3"/>
      <c r="BA18" s="3">
        <v>0</v>
      </c>
      <c r="BB18" s="3"/>
      <c r="BC18" s="3">
        <f t="shared" si="3"/>
        <v>6547386</v>
      </c>
      <c r="BD18" s="3"/>
      <c r="BE18" s="3">
        <f>+'St of Act-Rev'!AG18-BC18</f>
        <v>299323</v>
      </c>
      <c r="BF18" s="3"/>
      <c r="BG18" s="3">
        <v>800359</v>
      </c>
      <c r="BH18" s="3"/>
      <c r="BI18" s="3">
        <f t="shared" si="6"/>
        <v>1099682</v>
      </c>
      <c r="BK18" s="3">
        <f>+'St of Net Assets'!AA18-BI18</f>
        <v>0</v>
      </c>
      <c r="BN18" s="3"/>
      <c r="BO18" s="3" t="str">
        <f t="shared" si="4"/>
        <v>Belmont-Harrison VSD</v>
      </c>
      <c r="BP18" s="3" t="str">
        <f t="shared" si="5"/>
        <v>Belmont-Harrison VSD</v>
      </c>
      <c r="BQ18" s="16" t="b">
        <f t="shared" si="0"/>
        <v>1</v>
      </c>
      <c r="BS18" s="3" t="str">
        <f t="shared" si="1"/>
        <v>Belmont</v>
      </c>
      <c r="BT18" s="3" t="b">
        <f t="shared" si="2"/>
        <v>1</v>
      </c>
    </row>
    <row r="19" spans="1:72">
      <c r="A19" s="3" t="s">
        <v>227</v>
      </c>
      <c r="B19" s="16"/>
      <c r="C19" s="16" t="s">
        <v>202</v>
      </c>
      <c r="E19" s="16">
        <v>51656</v>
      </c>
      <c r="G19" s="3">
        <v>1225142</v>
      </c>
      <c r="H19" s="3"/>
      <c r="I19" s="3">
        <v>599085</v>
      </c>
      <c r="J19" s="3"/>
      <c r="K19" s="3">
        <v>6069915</v>
      </c>
      <c r="L19" s="3"/>
      <c r="M19" s="32">
        <v>1595664</v>
      </c>
      <c r="N19" s="3"/>
      <c r="O19" s="3">
        <v>0</v>
      </c>
      <c r="P19" s="3"/>
      <c r="Q19" s="3">
        <v>887772</v>
      </c>
      <c r="R19" s="3"/>
      <c r="S19" s="3">
        <v>658315</v>
      </c>
      <c r="T19" s="3"/>
      <c r="U19" s="3">
        <v>150068</v>
      </c>
      <c r="V19" s="3"/>
      <c r="W19" s="3">
        <v>697785</v>
      </c>
      <c r="X19" s="3"/>
      <c r="Y19" s="3">
        <v>404622</v>
      </c>
      <c r="Z19" s="3"/>
      <c r="AA19" s="3">
        <v>0</v>
      </c>
      <c r="AB19" s="3"/>
      <c r="AC19" s="3">
        <v>1560370</v>
      </c>
      <c r="AD19" s="3"/>
      <c r="AE19" s="3" t="s">
        <v>227</v>
      </c>
      <c r="AF19" s="16"/>
      <c r="AG19" s="16" t="s">
        <v>202</v>
      </c>
      <c r="AH19" s="16"/>
      <c r="AI19" s="3">
        <v>11242</v>
      </c>
      <c r="AJ19" s="3"/>
      <c r="AK19" s="3">
        <v>173513</v>
      </c>
      <c r="AL19" s="3"/>
      <c r="AM19" s="3">
        <v>0</v>
      </c>
      <c r="AN19" s="3"/>
      <c r="AO19" s="3">
        <v>436539</v>
      </c>
      <c r="AP19" s="3"/>
      <c r="AQ19" s="3">
        <v>2114</v>
      </c>
      <c r="AR19" s="3"/>
      <c r="AS19" s="3">
        <v>13171</v>
      </c>
      <c r="AT19" s="3"/>
      <c r="AU19" s="3">
        <v>13888</v>
      </c>
      <c r="AV19" s="3"/>
      <c r="AW19" s="3">
        <v>0</v>
      </c>
      <c r="AX19" s="3"/>
      <c r="AY19" s="3">
        <v>0</v>
      </c>
      <c r="AZ19" s="3"/>
      <c r="BA19" s="3">
        <v>0</v>
      </c>
      <c r="BB19" s="3"/>
      <c r="BC19" s="3">
        <f t="shared" si="3"/>
        <v>14499205</v>
      </c>
      <c r="BD19" s="3"/>
      <c r="BE19" s="3">
        <f>+'St of Act-Rev'!AG19-BC19</f>
        <v>1020632</v>
      </c>
      <c r="BF19" s="3"/>
      <c r="BG19" s="3">
        <v>22113253</v>
      </c>
      <c r="BH19" s="3"/>
      <c r="BI19" s="3">
        <f t="shared" si="6"/>
        <v>23133885</v>
      </c>
      <c r="BK19" s="3">
        <f>+'St of Net Assets'!AA19-BI19</f>
        <v>0</v>
      </c>
      <c r="BN19" s="3"/>
      <c r="BO19" s="3" t="str">
        <f t="shared" si="4"/>
        <v>Buckeye JVSD</v>
      </c>
      <c r="BP19" s="3" t="str">
        <f t="shared" si="5"/>
        <v>Buckeye JVSD</v>
      </c>
      <c r="BQ19" s="16" t="b">
        <f t="shared" si="0"/>
        <v>1</v>
      </c>
      <c r="BS19" s="3" t="str">
        <f t="shared" si="1"/>
        <v>Tuscarawas</v>
      </c>
      <c r="BT19" s="3" t="b">
        <f t="shared" si="2"/>
        <v>1</v>
      </c>
    </row>
    <row r="20" spans="1:72">
      <c r="A20" s="3" t="s">
        <v>287</v>
      </c>
      <c r="B20" s="16"/>
      <c r="C20" s="16" t="s">
        <v>150</v>
      </c>
      <c r="E20" s="16">
        <v>50880</v>
      </c>
      <c r="G20" s="3">
        <v>472594</v>
      </c>
      <c r="H20" s="3"/>
      <c r="I20" s="3">
        <v>12661</v>
      </c>
      <c r="J20" s="3"/>
      <c r="K20" s="3">
        <v>23288842</v>
      </c>
      <c r="L20" s="3"/>
      <c r="M20" s="32">
        <v>0</v>
      </c>
      <c r="N20" s="3"/>
      <c r="O20" s="3">
        <v>0</v>
      </c>
      <c r="P20" s="3"/>
      <c r="Q20" s="3">
        <v>1679598</v>
      </c>
      <c r="R20" s="3"/>
      <c r="S20" s="3">
        <v>3148038</v>
      </c>
      <c r="T20" s="3"/>
      <c r="U20" s="3">
        <v>114950</v>
      </c>
      <c r="V20" s="3"/>
      <c r="W20" s="3">
        <v>2983144</v>
      </c>
      <c r="X20" s="3"/>
      <c r="Y20" s="3">
        <v>1275736</v>
      </c>
      <c r="Z20" s="3"/>
      <c r="AA20" s="3">
        <v>65665</v>
      </c>
      <c r="AB20" s="3"/>
      <c r="AC20" s="3">
        <v>4541283</v>
      </c>
      <c r="AD20" s="3"/>
      <c r="AE20" s="3" t="s">
        <v>287</v>
      </c>
      <c r="AF20" s="16"/>
      <c r="AG20" s="16" t="s">
        <v>150</v>
      </c>
      <c r="AH20" s="16"/>
      <c r="AI20" s="3">
        <v>56932</v>
      </c>
      <c r="AJ20" s="3"/>
      <c r="AK20" s="3">
        <v>2864006</v>
      </c>
      <c r="AL20" s="3"/>
      <c r="AM20" s="3">
        <v>0</v>
      </c>
      <c r="AN20" s="3"/>
      <c r="AO20" s="3">
        <v>0</v>
      </c>
      <c r="AP20" s="3"/>
      <c r="AQ20" s="3">
        <v>101984</v>
      </c>
      <c r="AR20" s="3"/>
      <c r="AS20" s="3">
        <v>332399</v>
      </c>
      <c r="AT20" s="3"/>
      <c r="AU20" s="3">
        <v>80300</v>
      </c>
      <c r="AV20" s="3"/>
      <c r="AW20" s="3">
        <v>0</v>
      </c>
      <c r="AX20" s="3"/>
      <c r="AY20" s="3">
        <v>0</v>
      </c>
      <c r="AZ20" s="3"/>
      <c r="BA20" s="3">
        <v>0</v>
      </c>
      <c r="BB20" s="3"/>
      <c r="BC20" s="3">
        <f t="shared" si="3"/>
        <v>41018132</v>
      </c>
      <c r="BD20" s="3"/>
      <c r="BE20" s="3">
        <f>+'St of Act-Rev'!AG20-BC20</f>
        <v>1594802</v>
      </c>
      <c r="BF20" s="3"/>
      <c r="BG20" s="3">
        <v>53992823</v>
      </c>
      <c r="BH20" s="3"/>
      <c r="BI20" s="3">
        <f t="shared" si="6"/>
        <v>55587625</v>
      </c>
      <c r="BK20" s="3">
        <f>+'St of Net Assets'!AA20-BI20</f>
        <v>0</v>
      </c>
      <c r="BN20" s="3"/>
      <c r="BO20" s="3" t="str">
        <f t="shared" si="4"/>
        <v>Butler Technology and Career Development</v>
      </c>
      <c r="BP20" s="3" t="str">
        <f t="shared" si="5"/>
        <v>Butler Technology and Career Development</v>
      </c>
      <c r="BQ20" s="16" t="b">
        <f t="shared" si="0"/>
        <v>1</v>
      </c>
      <c r="BS20" s="3" t="str">
        <f t="shared" si="1"/>
        <v>Butler</v>
      </c>
      <c r="BT20" s="3" t="b">
        <f t="shared" si="2"/>
        <v>1</v>
      </c>
    </row>
    <row r="21" spans="1:72">
      <c r="A21" s="3" t="s">
        <v>291</v>
      </c>
      <c r="B21" s="16"/>
      <c r="C21" s="16" t="s">
        <v>176</v>
      </c>
      <c r="E21" s="16">
        <v>51201</v>
      </c>
      <c r="G21" s="3">
        <v>334965</v>
      </c>
      <c r="H21" s="3"/>
      <c r="I21" s="3">
        <v>528186</v>
      </c>
      <c r="J21" s="3"/>
      <c r="K21" s="3">
        <v>5039087</v>
      </c>
      <c r="L21" s="3"/>
      <c r="M21" s="32">
        <v>2179701</v>
      </c>
      <c r="N21" s="3"/>
      <c r="O21" s="3">
        <v>0</v>
      </c>
      <c r="P21" s="3"/>
      <c r="Q21" s="3">
        <v>669727</v>
      </c>
      <c r="R21" s="3"/>
      <c r="S21" s="3">
        <v>1006906</v>
      </c>
      <c r="T21" s="3"/>
      <c r="U21" s="3">
        <v>24294</v>
      </c>
      <c r="V21" s="3"/>
      <c r="W21" s="3">
        <v>1037507</v>
      </c>
      <c r="X21" s="3"/>
      <c r="Y21" s="3">
        <v>405296</v>
      </c>
      <c r="Z21" s="3"/>
      <c r="AA21" s="3">
        <v>458794</v>
      </c>
      <c r="AB21" s="3"/>
      <c r="AC21" s="3">
        <v>1346211</v>
      </c>
      <c r="AD21" s="3"/>
      <c r="AE21" s="3" t="s">
        <v>291</v>
      </c>
      <c r="AF21" s="16"/>
      <c r="AG21" s="16" t="s">
        <v>176</v>
      </c>
      <c r="AH21" s="16"/>
      <c r="AI21" s="3">
        <v>15739</v>
      </c>
      <c r="AJ21" s="3"/>
      <c r="AK21" s="3">
        <v>1038809</v>
      </c>
      <c r="AL21" s="3"/>
      <c r="AM21" s="3">
        <v>0</v>
      </c>
      <c r="AN21" s="3"/>
      <c r="AO21" s="3">
        <v>255247</v>
      </c>
      <c r="AP21" s="3"/>
      <c r="AQ21" s="3">
        <v>453</v>
      </c>
      <c r="AR21" s="3"/>
      <c r="AS21" s="3">
        <v>62738</v>
      </c>
      <c r="AT21" s="3"/>
      <c r="AU21" s="3">
        <v>1031401</v>
      </c>
      <c r="AV21" s="3"/>
      <c r="AW21" s="3">
        <v>0</v>
      </c>
      <c r="AX21" s="3"/>
      <c r="AY21" s="3">
        <v>0</v>
      </c>
      <c r="AZ21" s="3"/>
      <c r="BA21" s="3">
        <v>0</v>
      </c>
      <c r="BB21" s="3"/>
      <c r="BC21" s="3">
        <f>SUM(G21:BB21)</f>
        <v>15435061</v>
      </c>
      <c r="BD21" s="3"/>
      <c r="BE21" s="3">
        <f>+'St of Act-Rev'!AG21-BC21</f>
        <v>2592705</v>
      </c>
      <c r="BF21" s="3"/>
      <c r="BG21" s="3">
        <v>12837186</v>
      </c>
      <c r="BH21" s="3"/>
      <c r="BI21" s="3">
        <f>+BE21+BG21</f>
        <v>15429891</v>
      </c>
      <c r="BK21" s="3">
        <f>+'St of Net Assets'!AA21-BI21</f>
        <v>0</v>
      </c>
      <c r="BN21" s="3"/>
      <c r="BO21" s="3" t="str">
        <f>A21</f>
        <v>Career and Technology Education Centers of Licking County</v>
      </c>
      <c r="BP21" s="3" t="str">
        <f>AE21</f>
        <v>Career and Technology Education Centers of Licking County</v>
      </c>
      <c r="BQ21" s="16" t="b">
        <f>BO21=BP21</f>
        <v>1</v>
      </c>
      <c r="BS21" s="3" t="str">
        <f>C21</f>
        <v>Licking</v>
      </c>
      <c r="BT21" s="3" t="b">
        <f>C21=AG21</f>
        <v>1</v>
      </c>
    </row>
    <row r="22" spans="1:72" s="72" customFormat="1" hidden="1">
      <c r="A22" s="65" t="s">
        <v>289</v>
      </c>
      <c r="B22" s="66"/>
      <c r="C22" s="66" t="s">
        <v>220</v>
      </c>
      <c r="E22" s="66">
        <v>63511</v>
      </c>
      <c r="G22" s="65"/>
      <c r="H22" s="65"/>
      <c r="I22" s="65"/>
      <c r="J22" s="65"/>
      <c r="K22" s="65"/>
      <c r="L22" s="65"/>
      <c r="M22" s="80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 t="s">
        <v>289</v>
      </c>
      <c r="AF22" s="66"/>
      <c r="AG22" s="66" t="s">
        <v>220</v>
      </c>
      <c r="AH22" s="66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>
        <f t="shared" si="3"/>
        <v>0</v>
      </c>
      <c r="BD22" s="65"/>
      <c r="BE22" s="65">
        <f>+'St of Act-Rev'!AG22-BC22</f>
        <v>0</v>
      </c>
      <c r="BF22" s="65"/>
      <c r="BG22" s="65"/>
      <c r="BH22" s="65"/>
      <c r="BI22" s="65">
        <f t="shared" si="6"/>
        <v>0</v>
      </c>
      <c r="BJ22" s="74"/>
      <c r="BK22" s="65">
        <f>+'St of Net Assets'!AA22-BI22</f>
        <v>0</v>
      </c>
      <c r="BL22" s="74"/>
      <c r="BM22" s="74"/>
      <c r="BN22" s="66" t="s">
        <v>304</v>
      </c>
      <c r="BO22" s="65" t="str">
        <f t="shared" si="4"/>
        <v>Central Ohio JVSD- now Tolles Career &amp; Technical Center since 2005</v>
      </c>
      <c r="BP22" s="65" t="str">
        <f t="shared" si="5"/>
        <v>Central Ohio JVSD- now Tolles Career &amp; Technical Center since 2005</v>
      </c>
      <c r="BQ22" s="66" t="b">
        <f t="shared" si="0"/>
        <v>1</v>
      </c>
      <c r="BS22" s="65" t="str">
        <f t="shared" si="1"/>
        <v>Madison</v>
      </c>
      <c r="BT22" s="65" t="b">
        <f t="shared" si="2"/>
        <v>1</v>
      </c>
    </row>
    <row r="23" spans="1:72">
      <c r="A23" s="3" t="s">
        <v>288</v>
      </c>
      <c r="B23" s="16"/>
      <c r="C23" s="16" t="s">
        <v>159</v>
      </c>
      <c r="E23" s="16">
        <v>50906</v>
      </c>
      <c r="G23" s="3">
        <v>537679</v>
      </c>
      <c r="H23" s="3"/>
      <c r="I23" s="3">
        <v>182000</v>
      </c>
      <c r="J23" s="3"/>
      <c r="K23" s="3">
        <v>2655601</v>
      </c>
      <c r="L23" s="3"/>
      <c r="M23" s="32">
        <v>0</v>
      </c>
      <c r="N23" s="3"/>
      <c r="O23" s="3">
        <v>134360</v>
      </c>
      <c r="P23" s="3"/>
      <c r="Q23" s="3">
        <v>289533</v>
      </c>
      <c r="R23" s="3"/>
      <c r="S23" s="3">
        <v>417915</v>
      </c>
      <c r="T23" s="3"/>
      <c r="U23" s="3">
        <v>26672</v>
      </c>
      <c r="V23" s="3"/>
      <c r="W23" s="3">
        <v>1020341</v>
      </c>
      <c r="X23" s="3"/>
      <c r="Y23" s="3">
        <v>342440</v>
      </c>
      <c r="Z23" s="3"/>
      <c r="AA23" s="3">
        <v>0</v>
      </c>
      <c r="AB23" s="3"/>
      <c r="AC23" s="3">
        <v>776019</v>
      </c>
      <c r="AD23" s="3"/>
      <c r="AE23" s="3" t="s">
        <v>288</v>
      </c>
      <c r="AF23" s="16"/>
      <c r="AG23" s="16" t="s">
        <v>159</v>
      </c>
      <c r="AH23" s="16"/>
      <c r="AI23" s="3">
        <v>0</v>
      </c>
      <c r="AJ23" s="3"/>
      <c r="AK23" s="3">
        <v>13250</v>
      </c>
      <c r="AL23" s="3"/>
      <c r="AM23" s="3">
        <v>0</v>
      </c>
      <c r="AN23" s="3"/>
      <c r="AO23" s="3">
        <v>213178</v>
      </c>
      <c r="AP23" s="3"/>
      <c r="AQ23" s="3">
        <v>0</v>
      </c>
      <c r="AR23" s="3"/>
      <c r="AS23" s="3">
        <v>26988</v>
      </c>
      <c r="AT23" s="3"/>
      <c r="AU23" s="3">
        <v>0</v>
      </c>
      <c r="AV23" s="3"/>
      <c r="AW23" s="3">
        <v>0</v>
      </c>
      <c r="AX23" s="3"/>
      <c r="AY23" s="3">
        <v>0</v>
      </c>
      <c r="AZ23" s="3"/>
      <c r="BA23" s="3">
        <v>0</v>
      </c>
      <c r="BB23" s="3"/>
      <c r="BC23" s="3">
        <f t="shared" si="3"/>
        <v>6635976</v>
      </c>
      <c r="BD23" s="3"/>
      <c r="BE23" s="3">
        <f>+'St of Act-Rev'!AG23-BC23</f>
        <v>1483264</v>
      </c>
      <c r="BF23" s="3"/>
      <c r="BG23" s="3">
        <v>12948027</v>
      </c>
      <c r="BH23" s="3"/>
      <c r="BI23" s="3">
        <f t="shared" si="6"/>
        <v>14431291</v>
      </c>
      <c r="BK23" s="3">
        <f>+'St of Net Assets'!AA23-BI23</f>
        <v>0</v>
      </c>
      <c r="BN23" s="3"/>
      <c r="BO23" s="3" t="str">
        <f t="shared" si="4"/>
        <v>Columbiana County Career &amp; Technical Center</v>
      </c>
      <c r="BP23" s="3" t="str">
        <f t="shared" si="5"/>
        <v>Columbiana County Career &amp; Technical Center</v>
      </c>
      <c r="BQ23" s="16" t="b">
        <f t="shared" si="0"/>
        <v>1</v>
      </c>
      <c r="BS23" s="3" t="str">
        <f t="shared" si="1"/>
        <v>Columbiana</v>
      </c>
      <c r="BT23" s="3" t="b">
        <f t="shared" si="2"/>
        <v>1</v>
      </c>
    </row>
    <row r="24" spans="1:72">
      <c r="A24" s="3" t="s">
        <v>253</v>
      </c>
      <c r="B24" s="16"/>
      <c r="C24" s="16" t="s">
        <v>213</v>
      </c>
      <c r="E24" s="16">
        <v>65227</v>
      </c>
      <c r="G24" s="3">
        <v>576003</v>
      </c>
      <c r="H24" s="3"/>
      <c r="I24" s="3">
        <v>90051</v>
      </c>
      <c r="J24" s="3"/>
      <c r="K24" s="3">
        <v>1530257</v>
      </c>
      <c r="L24" s="3"/>
      <c r="M24" s="32">
        <v>0</v>
      </c>
      <c r="N24" s="3"/>
      <c r="O24" s="3">
        <v>0</v>
      </c>
      <c r="P24" s="3"/>
      <c r="Q24" s="3">
        <v>176243</v>
      </c>
      <c r="R24" s="3"/>
      <c r="S24" s="3">
        <v>182256</v>
      </c>
      <c r="T24" s="3"/>
      <c r="U24" s="3">
        <v>52052</v>
      </c>
      <c r="V24" s="3"/>
      <c r="W24" s="3">
        <v>233136</v>
      </c>
      <c r="X24" s="3"/>
      <c r="Y24" s="3">
        <v>194624</v>
      </c>
      <c r="Z24" s="3"/>
      <c r="AA24" s="3">
        <v>55501</v>
      </c>
      <c r="AB24" s="3"/>
      <c r="AC24" s="3">
        <v>775230</v>
      </c>
      <c r="AD24" s="3"/>
      <c r="AE24" s="3" t="s">
        <v>253</v>
      </c>
      <c r="AF24" s="16"/>
      <c r="AG24" s="16" t="s">
        <v>213</v>
      </c>
      <c r="AH24" s="16"/>
      <c r="AI24" s="3">
        <v>3112</v>
      </c>
      <c r="AJ24" s="3"/>
      <c r="AK24" s="3">
        <v>18701</v>
      </c>
      <c r="AL24" s="3"/>
      <c r="AM24" s="3">
        <v>0</v>
      </c>
      <c r="AN24" s="3"/>
      <c r="AO24" s="3">
        <v>112179</v>
      </c>
      <c r="AP24" s="3"/>
      <c r="AQ24" s="3">
        <v>0</v>
      </c>
      <c r="AR24" s="3"/>
      <c r="AS24" s="3">
        <v>17857</v>
      </c>
      <c r="AT24" s="3"/>
      <c r="AU24" s="3">
        <v>9746</v>
      </c>
      <c r="AV24" s="3"/>
      <c r="AW24" s="3">
        <v>0</v>
      </c>
      <c r="AX24" s="3"/>
      <c r="AY24" s="3">
        <v>0</v>
      </c>
      <c r="AZ24" s="3"/>
      <c r="BA24" s="3">
        <v>0</v>
      </c>
      <c r="BB24" s="3"/>
      <c r="BC24" s="3">
        <f t="shared" si="3"/>
        <v>4026948</v>
      </c>
      <c r="BD24" s="3"/>
      <c r="BE24" s="3">
        <f>+'St of Act-Rev'!AG24-BC24</f>
        <v>-51649</v>
      </c>
      <c r="BF24" s="3"/>
      <c r="BG24" s="3">
        <v>1456380</v>
      </c>
      <c r="BH24" s="3"/>
      <c r="BI24" s="3">
        <f t="shared" si="6"/>
        <v>1404731</v>
      </c>
      <c r="BK24" s="3">
        <f>+'St of Net Assets'!AA24-BI24</f>
        <v>0</v>
      </c>
      <c r="BN24" s="3"/>
      <c r="BO24" s="3" t="str">
        <f t="shared" si="4"/>
        <v>Coshocton County Career Center</v>
      </c>
      <c r="BP24" s="3" t="str">
        <f t="shared" si="5"/>
        <v>Coshocton County Career Center</v>
      </c>
      <c r="BQ24" s="16" t="b">
        <f t="shared" si="0"/>
        <v>1</v>
      </c>
      <c r="BS24" s="3" t="str">
        <f t="shared" si="1"/>
        <v>Coshocton</v>
      </c>
      <c r="BT24" s="3" t="b">
        <f t="shared" si="2"/>
        <v>1</v>
      </c>
    </row>
    <row r="25" spans="1:72">
      <c r="A25" s="3" t="s">
        <v>251</v>
      </c>
      <c r="B25" s="16"/>
      <c r="C25" s="16" t="s">
        <v>160</v>
      </c>
      <c r="E25" s="16">
        <v>50922</v>
      </c>
      <c r="G25" s="3">
        <v>750974</v>
      </c>
      <c r="H25" s="3"/>
      <c r="I25" s="3">
        <v>0</v>
      </c>
      <c r="J25" s="3"/>
      <c r="K25" s="3">
        <v>5745160</v>
      </c>
      <c r="L25" s="3"/>
      <c r="M25" s="32">
        <v>1651134</v>
      </c>
      <c r="N25" s="3"/>
      <c r="O25" s="3">
        <v>0</v>
      </c>
      <c r="P25" s="3"/>
      <c r="Q25" s="3">
        <v>979139</v>
      </c>
      <c r="R25" s="3"/>
      <c r="S25" s="3">
        <v>1554548</v>
      </c>
      <c r="T25" s="3"/>
      <c r="U25" s="3">
        <v>54461</v>
      </c>
      <c r="V25" s="3"/>
      <c r="W25" s="3">
        <v>2193375</v>
      </c>
      <c r="X25" s="3"/>
      <c r="Y25" s="3">
        <v>920441</v>
      </c>
      <c r="Z25" s="3"/>
      <c r="AA25" s="3">
        <v>745236</v>
      </c>
      <c r="AB25" s="3"/>
      <c r="AC25" s="3">
        <v>1431684</v>
      </c>
      <c r="AD25" s="3"/>
      <c r="AE25" s="3" t="s">
        <v>251</v>
      </c>
      <c r="AF25" s="16"/>
      <c r="AG25" s="16" t="s">
        <v>160</v>
      </c>
      <c r="AH25" s="16"/>
      <c r="AI25" s="3">
        <v>22018</v>
      </c>
      <c r="AJ25" s="3"/>
      <c r="AK25" s="3">
        <v>298581</v>
      </c>
      <c r="AL25" s="3"/>
      <c r="AM25" s="3">
        <v>0</v>
      </c>
      <c r="AN25" s="3"/>
      <c r="AO25" s="3">
        <v>210326</v>
      </c>
      <c r="AP25" s="3"/>
      <c r="AQ25" s="3">
        <v>4735</v>
      </c>
      <c r="AR25" s="3"/>
      <c r="AS25" s="3">
        <v>59861</v>
      </c>
      <c r="AT25" s="3"/>
      <c r="AU25" s="3">
        <v>4553</v>
      </c>
      <c r="AV25" s="3"/>
      <c r="AW25" s="3">
        <v>0</v>
      </c>
      <c r="AX25" s="3"/>
      <c r="AY25" s="3">
        <v>0</v>
      </c>
      <c r="AZ25" s="3"/>
      <c r="BA25" s="3">
        <f>263527+2085435</f>
        <v>2348962</v>
      </c>
      <c r="BB25" s="3"/>
      <c r="BC25" s="3">
        <f t="shared" si="3"/>
        <v>18975188</v>
      </c>
      <c r="BD25" s="3"/>
      <c r="BE25" s="3">
        <f>+'St of Act-Rev'!AG25-BC25</f>
        <v>-943408</v>
      </c>
      <c r="BF25" s="3"/>
      <c r="BG25" s="3">
        <v>31533198</v>
      </c>
      <c r="BH25" s="3"/>
      <c r="BI25" s="3">
        <f t="shared" si="6"/>
        <v>30589790</v>
      </c>
      <c r="BK25" s="3">
        <f>+'St of Net Assets'!AA25-BI25</f>
        <v>0</v>
      </c>
      <c r="BN25" s="3"/>
      <c r="BO25" s="3" t="str">
        <f t="shared" si="4"/>
        <v>Cuyahoga Valley Career Center</v>
      </c>
      <c r="BP25" s="3" t="str">
        <f t="shared" si="5"/>
        <v>Cuyahoga Valley Career Center</v>
      </c>
      <c r="BQ25" s="16" t="b">
        <f t="shared" si="0"/>
        <v>1</v>
      </c>
      <c r="BS25" s="3" t="str">
        <f t="shared" si="1"/>
        <v>Cuyahoga</v>
      </c>
      <c r="BT25" s="3" t="b">
        <f t="shared" si="2"/>
        <v>1</v>
      </c>
    </row>
    <row r="26" spans="1:72">
      <c r="A26" s="3" t="s">
        <v>250</v>
      </c>
      <c r="B26" s="16"/>
      <c r="C26" s="16" t="s">
        <v>162</v>
      </c>
      <c r="E26" s="16">
        <v>50989</v>
      </c>
      <c r="G26" s="3">
        <v>1135407</v>
      </c>
      <c r="H26" s="3"/>
      <c r="I26" s="3">
        <v>178439</v>
      </c>
      <c r="J26" s="3"/>
      <c r="K26" s="3">
        <v>6312644</v>
      </c>
      <c r="L26" s="3"/>
      <c r="M26" s="32">
        <v>907618</v>
      </c>
      <c r="N26" s="3"/>
      <c r="O26" s="3">
        <v>102890</v>
      </c>
      <c r="P26" s="3"/>
      <c r="Q26" s="3">
        <v>753117</v>
      </c>
      <c r="R26" s="3"/>
      <c r="S26" s="3">
        <v>1102448</v>
      </c>
      <c r="T26" s="3"/>
      <c r="U26" s="3">
        <v>100687</v>
      </c>
      <c r="V26" s="3"/>
      <c r="W26" s="3">
        <v>1407352</v>
      </c>
      <c r="X26" s="3"/>
      <c r="Y26" s="3">
        <v>722901</v>
      </c>
      <c r="Z26" s="3"/>
      <c r="AA26" s="3">
        <v>0</v>
      </c>
      <c r="AB26" s="3"/>
      <c r="AC26" s="3">
        <v>1526350</v>
      </c>
      <c r="AD26" s="3"/>
      <c r="AE26" s="3" t="s">
        <v>250</v>
      </c>
      <c r="AF26" s="16"/>
      <c r="AG26" s="16" t="s">
        <v>162</v>
      </c>
      <c r="AH26" s="16"/>
      <c r="AI26" s="3">
        <v>28999</v>
      </c>
      <c r="AJ26" s="3"/>
      <c r="AK26" s="3">
        <v>1062571</v>
      </c>
      <c r="AL26" s="3"/>
      <c r="AM26" s="3">
        <v>0</v>
      </c>
      <c r="AN26" s="3"/>
      <c r="AO26" s="3">
        <v>195363</v>
      </c>
      <c r="AP26" s="3"/>
      <c r="AQ26" s="3">
        <v>14263</v>
      </c>
      <c r="AR26" s="3"/>
      <c r="AS26" s="3">
        <v>15984</v>
      </c>
      <c r="AT26" s="3"/>
      <c r="AU26" s="3">
        <v>0</v>
      </c>
      <c r="AV26" s="3"/>
      <c r="AW26" s="3">
        <v>0</v>
      </c>
      <c r="AX26" s="3"/>
      <c r="AY26" s="3"/>
      <c r="AZ26" s="3"/>
      <c r="BA26" s="3">
        <v>0</v>
      </c>
      <c r="BB26" s="3"/>
      <c r="BC26" s="3">
        <f t="shared" si="3"/>
        <v>15567033</v>
      </c>
      <c r="BD26" s="3"/>
      <c r="BE26" s="3">
        <f>+'St of Act-Rev'!AG26-BC26</f>
        <v>4553691</v>
      </c>
      <c r="BF26" s="3"/>
      <c r="BG26" s="3">
        <v>32983071</v>
      </c>
      <c r="BH26" s="3"/>
      <c r="BI26" s="3">
        <f t="shared" si="6"/>
        <v>37536762</v>
      </c>
      <c r="BK26" s="3">
        <f>+'St of Net Assets'!AA26-BI26</f>
        <v>0</v>
      </c>
      <c r="BN26" s="3"/>
      <c r="BO26" s="3" t="str">
        <f t="shared" si="4"/>
        <v>Delaware Area Career Center</v>
      </c>
      <c r="BP26" s="3" t="str">
        <f t="shared" si="5"/>
        <v>Delaware Area Career Center</v>
      </c>
      <c r="BQ26" s="16" t="b">
        <f t="shared" si="0"/>
        <v>1</v>
      </c>
      <c r="BS26" s="3" t="str">
        <f t="shared" si="1"/>
        <v>Delaware</v>
      </c>
      <c r="BT26" s="3" t="b">
        <f t="shared" si="2"/>
        <v>1</v>
      </c>
    </row>
    <row r="27" spans="1:72">
      <c r="A27" s="3" t="s">
        <v>307</v>
      </c>
      <c r="B27" s="16"/>
      <c r="C27" s="16" t="s">
        <v>165</v>
      </c>
      <c r="E27" s="16">
        <v>51003</v>
      </c>
      <c r="G27" s="3">
        <v>3775506</v>
      </c>
      <c r="H27" s="3"/>
      <c r="I27" s="3">
        <v>1399506</v>
      </c>
      <c r="J27" s="3"/>
      <c r="K27" s="3">
        <v>7525959</v>
      </c>
      <c r="L27" s="3"/>
      <c r="M27" s="32">
        <f>212630+2103650</f>
        <v>2316280</v>
      </c>
      <c r="N27" s="3"/>
      <c r="O27" s="3">
        <v>697664</v>
      </c>
      <c r="P27" s="3"/>
      <c r="Q27" s="3">
        <v>907165</v>
      </c>
      <c r="R27" s="3"/>
      <c r="S27" s="3">
        <v>537271</v>
      </c>
      <c r="T27" s="3"/>
      <c r="U27" s="3">
        <v>33789</v>
      </c>
      <c r="V27" s="3"/>
      <c r="W27" s="3">
        <v>2910290</v>
      </c>
      <c r="X27" s="3"/>
      <c r="Y27" s="3">
        <v>833343</v>
      </c>
      <c r="Z27" s="3"/>
      <c r="AA27" s="3">
        <v>4992</v>
      </c>
      <c r="AB27" s="3"/>
      <c r="AC27" s="3">
        <v>2442174</v>
      </c>
      <c r="AD27" s="3"/>
      <c r="AE27" s="3" t="s">
        <v>307</v>
      </c>
      <c r="AF27" s="16"/>
      <c r="AG27" s="16" t="s">
        <v>165</v>
      </c>
      <c r="AH27" s="16"/>
      <c r="AI27" s="3">
        <v>73799</v>
      </c>
      <c r="AJ27" s="3"/>
      <c r="AK27" s="3">
        <v>536624</v>
      </c>
      <c r="AL27" s="3"/>
      <c r="AM27" s="3">
        <v>0</v>
      </c>
      <c r="AN27" s="3"/>
      <c r="AO27" s="3">
        <v>0</v>
      </c>
      <c r="AP27" s="3"/>
      <c r="AQ27" s="3">
        <v>408197</v>
      </c>
      <c r="AR27" s="3"/>
      <c r="AS27" s="3">
        <v>65055</v>
      </c>
      <c r="AT27" s="3"/>
      <c r="AU27" s="3">
        <v>13884</v>
      </c>
      <c r="AV27" s="3"/>
      <c r="AW27" s="3">
        <v>0</v>
      </c>
      <c r="AX27" s="3"/>
      <c r="AY27" s="3"/>
      <c r="AZ27" s="3"/>
      <c r="BA27" s="3">
        <v>0</v>
      </c>
      <c r="BB27" s="3"/>
      <c r="BC27" s="3">
        <f t="shared" si="3"/>
        <v>24481498</v>
      </c>
      <c r="BD27" s="3"/>
      <c r="BE27" s="3">
        <f>+'St of Act-Rev'!AG27-BC27</f>
        <v>815661</v>
      </c>
      <c r="BF27" s="3"/>
      <c r="BG27" s="3">
        <v>44025514</v>
      </c>
      <c r="BH27" s="3"/>
      <c r="BI27" s="3">
        <f t="shared" si="6"/>
        <v>44841175</v>
      </c>
      <c r="BK27" s="3">
        <f>+'St of Net Assets'!AA27-BI27</f>
        <v>0</v>
      </c>
      <c r="BN27" s="3"/>
      <c r="BO27" s="3" t="str">
        <f t="shared" si="4"/>
        <v>Eastland-Fairfield Career and Tech Center</v>
      </c>
      <c r="BP27" s="3" t="str">
        <f t="shared" si="5"/>
        <v>Eastland-Fairfield Career and Tech Center</v>
      </c>
      <c r="BQ27" s="16" t="b">
        <f t="shared" si="0"/>
        <v>1</v>
      </c>
      <c r="BS27" s="3" t="str">
        <f t="shared" si="1"/>
        <v>Franklin</v>
      </c>
      <c r="BT27" s="3" t="b">
        <f t="shared" si="2"/>
        <v>1</v>
      </c>
    </row>
    <row r="28" spans="1:72">
      <c r="A28" s="3" t="s">
        <v>252</v>
      </c>
      <c r="B28" s="16"/>
      <c r="C28" s="16" t="s">
        <v>163</v>
      </c>
      <c r="E28" s="16">
        <v>51029</v>
      </c>
      <c r="G28" s="3">
        <v>926010</v>
      </c>
      <c r="H28" s="3"/>
      <c r="I28" s="3">
        <v>414597</v>
      </c>
      <c r="J28" s="3"/>
      <c r="K28" s="3">
        <v>5548837</v>
      </c>
      <c r="L28" s="3"/>
      <c r="M28" s="32">
        <v>3866216</v>
      </c>
      <c r="N28" s="3"/>
      <c r="O28" s="3">
        <v>0</v>
      </c>
      <c r="P28" s="3"/>
      <c r="Q28" s="3">
        <v>1049925</v>
      </c>
      <c r="R28" s="3"/>
      <c r="S28" s="3">
        <v>353547</v>
      </c>
      <c r="T28" s="3"/>
      <c r="U28" s="3">
        <v>63495</v>
      </c>
      <c r="V28" s="3"/>
      <c r="W28" s="3">
        <v>2118097</v>
      </c>
      <c r="X28" s="3"/>
      <c r="Y28" s="3">
        <v>425956</v>
      </c>
      <c r="Z28" s="3"/>
      <c r="AA28" s="3">
        <v>279460</v>
      </c>
      <c r="AB28" s="3"/>
      <c r="AC28" s="3">
        <v>2953725</v>
      </c>
      <c r="AD28" s="3"/>
      <c r="AE28" s="3" t="s">
        <v>252</v>
      </c>
      <c r="AF28" s="16"/>
      <c r="AG28" s="16" t="s">
        <v>163</v>
      </c>
      <c r="AH28" s="16"/>
      <c r="AI28" s="3">
        <v>26482</v>
      </c>
      <c r="AJ28" s="3"/>
      <c r="AK28" s="3">
        <v>514531</v>
      </c>
      <c r="AL28" s="3"/>
      <c r="AM28" s="3">
        <v>0</v>
      </c>
      <c r="AN28" s="3"/>
      <c r="AO28" s="3">
        <v>363718</v>
      </c>
      <c r="AP28" s="3"/>
      <c r="AQ28" s="3">
        <v>243643</v>
      </c>
      <c r="AR28" s="3"/>
      <c r="AS28" s="3">
        <v>0</v>
      </c>
      <c r="AT28" s="3"/>
      <c r="AU28" s="3">
        <v>160148</v>
      </c>
      <c r="AV28" s="3"/>
      <c r="AW28" s="3">
        <v>0</v>
      </c>
      <c r="AX28" s="3"/>
      <c r="AY28" s="3"/>
      <c r="AZ28" s="3"/>
      <c r="BA28" s="3">
        <v>0</v>
      </c>
      <c r="BB28" s="3"/>
      <c r="BC28" s="3">
        <f t="shared" si="3"/>
        <v>19308387</v>
      </c>
      <c r="BD28" s="3"/>
      <c r="BE28" s="3">
        <f>+'St of Act-Rev'!AG28-BC28</f>
        <v>-1578255</v>
      </c>
      <c r="BF28" s="3"/>
      <c r="BG28" s="3">
        <v>5166071</v>
      </c>
      <c r="BH28" s="3"/>
      <c r="BI28" s="3">
        <f t="shared" si="6"/>
        <v>3587816</v>
      </c>
      <c r="BK28" s="3">
        <f>+'St of Net Assets'!AA28-BI28</f>
        <v>0</v>
      </c>
      <c r="BN28" s="3" t="s">
        <v>383</v>
      </c>
      <c r="BO28" s="3" t="str">
        <f t="shared" si="4"/>
        <v>Ehove Career Center</v>
      </c>
      <c r="BP28" s="3" t="str">
        <f t="shared" si="5"/>
        <v>Ehove Career Center</v>
      </c>
      <c r="BQ28" s="16" t="b">
        <f t="shared" si="0"/>
        <v>1</v>
      </c>
      <c r="BS28" s="3" t="str">
        <f t="shared" si="1"/>
        <v>Erie</v>
      </c>
      <c r="BT28" s="3" t="b">
        <f t="shared" si="2"/>
        <v>1</v>
      </c>
    </row>
    <row r="29" spans="1:72">
      <c r="A29" s="3" t="s">
        <v>254</v>
      </c>
      <c r="B29" s="16"/>
      <c r="C29" s="16" t="s">
        <v>215</v>
      </c>
      <c r="E29" s="16">
        <v>50963</v>
      </c>
      <c r="G29" s="3">
        <v>55326</v>
      </c>
      <c r="H29" s="3"/>
      <c r="I29" s="3">
        <v>520</v>
      </c>
      <c r="J29" s="3"/>
      <c r="K29" s="3">
        <v>9303752</v>
      </c>
      <c r="L29" s="3"/>
      <c r="M29" s="32">
        <v>1240968</v>
      </c>
      <c r="N29" s="3"/>
      <c r="O29" s="3">
        <v>0</v>
      </c>
      <c r="P29" s="3"/>
      <c r="Q29" s="3">
        <v>1564077</v>
      </c>
      <c r="R29" s="3"/>
      <c r="S29" s="3">
        <v>605410</v>
      </c>
      <c r="T29" s="3"/>
      <c r="U29" s="3">
        <v>49905</v>
      </c>
      <c r="V29" s="3"/>
      <c r="W29" s="3">
        <v>1357398</v>
      </c>
      <c r="X29" s="3"/>
      <c r="Y29" s="3">
        <v>499916</v>
      </c>
      <c r="Z29" s="3"/>
      <c r="AA29" s="3">
        <v>63623</v>
      </c>
      <c r="AB29" s="3"/>
      <c r="AC29" s="3">
        <v>1578487</v>
      </c>
      <c r="AD29" s="3"/>
      <c r="AE29" s="3" t="s">
        <v>254</v>
      </c>
      <c r="AF29" s="16"/>
      <c r="AG29" s="16" t="s">
        <v>215</v>
      </c>
      <c r="AH29" s="16"/>
      <c r="AI29" s="3">
        <v>28158</v>
      </c>
      <c r="AJ29" s="3"/>
      <c r="AK29" s="3">
        <v>481357</v>
      </c>
      <c r="AL29" s="3"/>
      <c r="AM29" s="3">
        <v>0</v>
      </c>
      <c r="AN29" s="3"/>
      <c r="AO29" s="3">
        <v>0</v>
      </c>
      <c r="AP29" s="3"/>
      <c r="AQ29" s="3">
        <v>527346</v>
      </c>
      <c r="AR29" s="3"/>
      <c r="AS29" s="3">
        <v>74191</v>
      </c>
      <c r="AT29" s="3"/>
      <c r="AU29" s="3">
        <v>0</v>
      </c>
      <c r="AV29" s="3"/>
      <c r="AW29" s="3">
        <v>0</v>
      </c>
      <c r="AX29" s="3"/>
      <c r="AY29" s="3"/>
      <c r="AZ29" s="3"/>
      <c r="BA29" s="3">
        <v>492734</v>
      </c>
      <c r="BB29" s="3"/>
      <c r="BC29" s="3">
        <f t="shared" si="3"/>
        <v>17923168</v>
      </c>
      <c r="BD29" s="3"/>
      <c r="BE29" s="3">
        <f>+'St of Act-Rev'!AG29-BC29</f>
        <v>-907848</v>
      </c>
      <c r="BF29" s="3"/>
      <c r="BG29" s="3">
        <v>19009880</v>
      </c>
      <c r="BH29" s="3"/>
      <c r="BI29" s="3">
        <f t="shared" si="6"/>
        <v>18102032</v>
      </c>
      <c r="BK29" s="3">
        <f>+'St of Net Assets'!AA29-BI29</f>
        <v>0</v>
      </c>
      <c r="BN29" s="3"/>
      <c r="BO29" s="3" t="str">
        <f t="shared" si="4"/>
        <v>Four County Career Center</v>
      </c>
      <c r="BP29" s="3" t="str">
        <f t="shared" si="5"/>
        <v>Four County Career Center</v>
      </c>
      <c r="BQ29" s="16" t="b">
        <f t="shared" si="0"/>
        <v>1</v>
      </c>
      <c r="BS29" s="3" t="str">
        <f t="shared" si="1"/>
        <v>Henry</v>
      </c>
      <c r="BT29" s="3" t="b">
        <f t="shared" si="2"/>
        <v>1</v>
      </c>
    </row>
    <row r="30" spans="1:72">
      <c r="A30" s="3" t="s">
        <v>214</v>
      </c>
      <c r="B30" s="16"/>
      <c r="C30" s="16" t="s">
        <v>168</v>
      </c>
      <c r="E30" s="16">
        <v>62067</v>
      </c>
      <c r="G30" s="3">
        <v>34829</v>
      </c>
      <c r="H30" s="3"/>
      <c r="I30" s="3">
        <v>884349</v>
      </c>
      <c r="J30" s="3"/>
      <c r="K30" s="3">
        <v>4832249</v>
      </c>
      <c r="L30" s="3"/>
      <c r="M30" s="32">
        <v>767852</v>
      </c>
      <c r="N30" s="3"/>
      <c r="O30" s="3">
        <v>0</v>
      </c>
      <c r="P30" s="3"/>
      <c r="Q30" s="3">
        <v>433857</v>
      </c>
      <c r="R30" s="3"/>
      <c r="S30" s="3">
        <v>426773</v>
      </c>
      <c r="T30" s="3"/>
      <c r="U30" s="3">
        <v>72687</v>
      </c>
      <c r="V30" s="3"/>
      <c r="W30" s="3">
        <v>555389</v>
      </c>
      <c r="X30" s="3"/>
      <c r="Y30" s="3">
        <v>381184</v>
      </c>
      <c r="Z30" s="3"/>
      <c r="AA30" s="3">
        <v>56129</v>
      </c>
      <c r="AB30" s="3"/>
      <c r="AC30" s="3">
        <v>1673092</v>
      </c>
      <c r="AD30" s="3"/>
      <c r="AE30" s="3" t="s">
        <v>214</v>
      </c>
      <c r="AF30" s="16"/>
      <c r="AG30" s="16" t="s">
        <v>168</v>
      </c>
      <c r="AH30" s="16"/>
      <c r="AI30" s="3">
        <v>14358</v>
      </c>
      <c r="AJ30" s="3"/>
      <c r="AK30" s="3">
        <v>323143</v>
      </c>
      <c r="AL30" s="3"/>
      <c r="AM30" s="3">
        <v>0</v>
      </c>
      <c r="AN30" s="3"/>
      <c r="AO30" s="3">
        <v>193773</v>
      </c>
      <c r="AP30" s="3"/>
      <c r="AQ30" s="3">
        <v>0</v>
      </c>
      <c r="AR30" s="3"/>
      <c r="AS30" s="3">
        <v>11971</v>
      </c>
      <c r="AT30" s="3"/>
      <c r="AU30" s="3">
        <v>60113</v>
      </c>
      <c r="AV30" s="3"/>
      <c r="AW30" s="3">
        <v>0</v>
      </c>
      <c r="AX30" s="3"/>
      <c r="AY30" s="3"/>
      <c r="AZ30" s="3"/>
      <c r="BA30" s="3">
        <v>0</v>
      </c>
      <c r="BB30" s="3"/>
      <c r="BC30" s="3">
        <f t="shared" si="3"/>
        <v>10721748</v>
      </c>
      <c r="BD30" s="3"/>
      <c r="BE30" s="3">
        <f>+'St of Act-Rev'!AG30-BC30</f>
        <v>-200459</v>
      </c>
      <c r="BF30" s="3"/>
      <c r="BG30" s="3">
        <v>24077437</v>
      </c>
      <c r="BH30" s="3"/>
      <c r="BI30" s="3">
        <f t="shared" si="6"/>
        <v>23876978</v>
      </c>
      <c r="BK30" s="3">
        <f>+'St of Net Assets'!AA30-BI30</f>
        <v>0</v>
      </c>
      <c r="BN30" s="3"/>
      <c r="BO30" s="3" t="str">
        <f t="shared" si="4"/>
        <v>Gallia-Jackson-Vinton JVSD</v>
      </c>
      <c r="BP30" s="3" t="str">
        <f t="shared" si="5"/>
        <v>Gallia-Jackson-Vinton JVSD</v>
      </c>
      <c r="BQ30" s="16" t="b">
        <f t="shared" si="0"/>
        <v>1</v>
      </c>
      <c r="BS30" s="3" t="str">
        <f t="shared" si="1"/>
        <v>Gallia</v>
      </c>
      <c r="BT30" s="3" t="b">
        <f t="shared" si="2"/>
        <v>1</v>
      </c>
    </row>
    <row r="31" spans="1:72">
      <c r="A31" s="3" t="s">
        <v>327</v>
      </c>
      <c r="B31" s="16"/>
      <c r="C31" s="16" t="s">
        <v>171</v>
      </c>
      <c r="E31" s="16">
        <v>51060</v>
      </c>
      <c r="G31" s="3">
        <v>7965922</v>
      </c>
      <c r="H31" s="3"/>
      <c r="I31" s="3">
        <v>0</v>
      </c>
      <c r="J31" s="3"/>
      <c r="K31" s="3">
        <v>26008642</v>
      </c>
      <c r="L31" s="3"/>
      <c r="M31" s="32">
        <v>7457117</v>
      </c>
      <c r="N31" s="3"/>
      <c r="O31" s="3">
        <v>0</v>
      </c>
      <c r="P31" s="3"/>
      <c r="Q31" s="3">
        <v>3481175</v>
      </c>
      <c r="R31" s="3"/>
      <c r="S31" s="3">
        <v>2838111</v>
      </c>
      <c r="T31" s="3"/>
      <c r="U31" s="3">
        <v>465900</v>
      </c>
      <c r="V31" s="3"/>
      <c r="W31" s="3">
        <v>4220937</v>
      </c>
      <c r="X31" s="3"/>
      <c r="Y31" s="3">
        <v>2258619</v>
      </c>
      <c r="Z31" s="3"/>
      <c r="AA31" s="3">
        <v>1182177</v>
      </c>
      <c r="AB31" s="3"/>
      <c r="AC31" s="3">
        <v>8688624</v>
      </c>
      <c r="AD31" s="3"/>
      <c r="AE31" s="3" t="s">
        <v>327</v>
      </c>
      <c r="AF31" s="3"/>
      <c r="AG31" s="3" t="s">
        <v>171</v>
      </c>
      <c r="AH31" s="16"/>
      <c r="AI31" s="3">
        <v>397964</v>
      </c>
      <c r="AJ31" s="3"/>
      <c r="AK31" s="3">
        <v>6368679</v>
      </c>
      <c r="AL31" s="3"/>
      <c r="AM31" s="3">
        <v>0</v>
      </c>
      <c r="AN31" s="3"/>
      <c r="AO31" s="3">
        <v>0</v>
      </c>
      <c r="AP31" s="3"/>
      <c r="AQ31" s="3">
        <v>1284375</v>
      </c>
      <c r="AR31" s="3"/>
      <c r="AS31" s="3">
        <v>0</v>
      </c>
      <c r="AT31" s="3"/>
      <c r="AU31" s="3">
        <v>576693</v>
      </c>
      <c r="AV31" s="3"/>
      <c r="AW31" s="3">
        <v>0</v>
      </c>
      <c r="AX31" s="3"/>
      <c r="AY31" s="3"/>
      <c r="AZ31" s="3"/>
      <c r="BA31" s="3">
        <v>0</v>
      </c>
      <c r="BB31" s="3"/>
      <c r="BC31" s="3">
        <f t="shared" si="3"/>
        <v>73194935</v>
      </c>
      <c r="BD31" s="3"/>
      <c r="BE31" s="3">
        <f>+'St of Act-Rev'!AG31-BC31</f>
        <v>-3121223</v>
      </c>
      <c r="BF31" s="3"/>
      <c r="BG31" s="3">
        <v>135393981</v>
      </c>
      <c r="BH31" s="3"/>
      <c r="BI31" s="3">
        <f t="shared" si="6"/>
        <v>132272758</v>
      </c>
      <c r="BK31" s="3">
        <f>+'St of Net Assets'!AA31-BI31</f>
        <v>0</v>
      </c>
      <c r="BN31" s="3" t="s">
        <v>383</v>
      </c>
      <c r="BO31" s="3" t="str">
        <f t="shared" si="4"/>
        <v>Great Oaks Inst of Technology &amp; Career Development</v>
      </c>
      <c r="BP31" s="3" t="str">
        <f t="shared" si="5"/>
        <v>Great Oaks Inst of Technology &amp; Career Development</v>
      </c>
      <c r="BQ31" s="16" t="b">
        <f t="shared" si="0"/>
        <v>1</v>
      </c>
      <c r="BS31" s="3" t="str">
        <f t="shared" si="1"/>
        <v>Hamilton</v>
      </c>
      <c r="BT31" s="3" t="b">
        <f t="shared" si="2"/>
        <v>1</v>
      </c>
    </row>
    <row r="32" spans="1:72">
      <c r="A32" s="3" t="s">
        <v>386</v>
      </c>
      <c r="B32" s="16"/>
      <c r="C32" s="16" t="s">
        <v>170</v>
      </c>
      <c r="E32" s="16">
        <v>51045</v>
      </c>
      <c r="G32" s="3">
        <v>851730</v>
      </c>
      <c r="H32" s="3"/>
      <c r="I32" s="3">
        <v>0</v>
      </c>
      <c r="J32" s="3"/>
      <c r="K32" s="3">
        <v>7931898</v>
      </c>
      <c r="L32" s="3"/>
      <c r="M32" s="32">
        <v>0</v>
      </c>
      <c r="N32" s="3"/>
      <c r="O32" s="3">
        <v>0</v>
      </c>
      <c r="P32" s="3"/>
      <c r="Q32" s="3">
        <v>1025380</v>
      </c>
      <c r="R32" s="3"/>
      <c r="S32" s="3">
        <v>1917090</v>
      </c>
      <c r="T32" s="3"/>
      <c r="U32" s="3">
        <v>164700</v>
      </c>
      <c r="V32" s="3"/>
      <c r="W32" s="3">
        <v>812764</v>
      </c>
      <c r="X32" s="3"/>
      <c r="Y32" s="3">
        <v>536194</v>
      </c>
      <c r="Z32" s="3"/>
      <c r="AA32" s="3">
        <v>0</v>
      </c>
      <c r="AB32" s="3"/>
      <c r="AC32" s="3">
        <v>1461149</v>
      </c>
      <c r="AD32" s="3"/>
      <c r="AE32" s="3" t="s">
        <v>386</v>
      </c>
      <c r="AF32" s="16"/>
      <c r="AG32" s="16" t="s">
        <v>170</v>
      </c>
      <c r="AH32" s="16"/>
      <c r="AI32" s="3">
        <v>0</v>
      </c>
      <c r="AJ32" s="3"/>
      <c r="AK32" s="3">
        <v>236616</v>
      </c>
      <c r="AL32" s="3"/>
      <c r="AM32" s="3">
        <v>0</v>
      </c>
      <c r="AN32" s="3"/>
      <c r="AO32" s="3">
        <v>0</v>
      </c>
      <c r="AP32" s="3"/>
      <c r="AQ32" s="3">
        <v>281322</v>
      </c>
      <c r="AR32" s="3"/>
      <c r="AS32" s="3">
        <v>15052</v>
      </c>
      <c r="AT32" s="3"/>
      <c r="AU32" s="3">
        <v>0</v>
      </c>
      <c r="AV32" s="3"/>
      <c r="AW32" s="3">
        <v>0</v>
      </c>
      <c r="AX32" s="3"/>
      <c r="AY32" s="3"/>
      <c r="AZ32" s="3"/>
      <c r="BA32" s="3">
        <v>0</v>
      </c>
      <c r="BB32" s="3"/>
      <c r="BC32" s="3">
        <f t="shared" si="3"/>
        <v>15233895</v>
      </c>
      <c r="BD32" s="3"/>
      <c r="BE32" s="3">
        <f>+'St of Act-Rev'!AG32-BC32</f>
        <v>2448639</v>
      </c>
      <c r="BF32" s="3"/>
      <c r="BG32" s="3">
        <v>17196815</v>
      </c>
      <c r="BH32" s="3"/>
      <c r="BI32" s="3">
        <f t="shared" si="6"/>
        <v>19645454</v>
      </c>
      <c r="BK32" s="3">
        <f>+'St of Net Assets'!AA32-BI32</f>
        <v>0</v>
      </c>
      <c r="BN32" s="3"/>
      <c r="BO32" s="3" t="str">
        <f t="shared" si="4"/>
        <v>Greene County VSD</v>
      </c>
      <c r="BP32" s="3" t="str">
        <f t="shared" si="5"/>
        <v>Greene County VSD</v>
      </c>
      <c r="BQ32" s="16" t="b">
        <f t="shared" si="0"/>
        <v>1</v>
      </c>
      <c r="BS32" s="3" t="str">
        <f t="shared" si="1"/>
        <v>Greene</v>
      </c>
      <c r="BT32" s="3" t="b">
        <f t="shared" si="2"/>
        <v>1</v>
      </c>
    </row>
    <row r="33" spans="1:72">
      <c r="A33" s="3" t="s">
        <v>216</v>
      </c>
      <c r="B33" s="16"/>
      <c r="C33" s="16" t="s">
        <v>173</v>
      </c>
      <c r="E33" s="16">
        <v>51128</v>
      </c>
      <c r="G33" s="3">
        <v>339682</v>
      </c>
      <c r="H33" s="3"/>
      <c r="I33" s="3">
        <v>226727</v>
      </c>
      <c r="J33" s="3"/>
      <c r="K33" s="3">
        <v>2820005</v>
      </c>
      <c r="L33" s="3"/>
      <c r="M33" s="32">
        <v>3845</v>
      </c>
      <c r="N33" s="3"/>
      <c r="O33" s="3">
        <v>14246</v>
      </c>
      <c r="P33" s="3"/>
      <c r="Q33" s="3">
        <v>194725</v>
      </c>
      <c r="R33" s="3"/>
      <c r="S33" s="3">
        <v>306895</v>
      </c>
      <c r="T33" s="3"/>
      <c r="U33" s="3">
        <v>35910</v>
      </c>
      <c r="V33" s="3"/>
      <c r="W33" s="3">
        <v>229823</v>
      </c>
      <c r="X33" s="3"/>
      <c r="Y33" s="3">
        <v>234801</v>
      </c>
      <c r="Z33" s="3"/>
      <c r="AA33" s="3">
        <v>0</v>
      </c>
      <c r="AB33" s="3"/>
      <c r="AC33" s="3">
        <v>777654</v>
      </c>
      <c r="AD33" s="3"/>
      <c r="AE33" s="3" t="s">
        <v>216</v>
      </c>
      <c r="AF33" s="16"/>
      <c r="AG33" s="16" t="s">
        <v>173</v>
      </c>
      <c r="AH33" s="16"/>
      <c r="AI33" s="3">
        <v>0</v>
      </c>
      <c r="AJ33" s="3"/>
      <c r="AK33" s="3">
        <v>20218</v>
      </c>
      <c r="AL33" s="3"/>
      <c r="AM33" s="3">
        <v>0</v>
      </c>
      <c r="AN33" s="3"/>
      <c r="AO33" s="3">
        <v>184953</v>
      </c>
      <c r="AP33" s="3"/>
      <c r="AQ33" s="3">
        <v>0</v>
      </c>
      <c r="AR33" s="3"/>
      <c r="AS33" s="3">
        <v>0</v>
      </c>
      <c r="AT33" s="3"/>
      <c r="AU33" s="3">
        <v>25314</v>
      </c>
      <c r="AV33" s="3"/>
      <c r="AW33" s="3">
        <v>0</v>
      </c>
      <c r="AX33" s="3"/>
      <c r="AY33" s="3"/>
      <c r="AZ33" s="3"/>
      <c r="BA33" s="3">
        <v>0</v>
      </c>
      <c r="BB33" s="3"/>
      <c r="BC33" s="3">
        <f t="shared" si="3"/>
        <v>5414798</v>
      </c>
      <c r="BD33" s="3"/>
      <c r="BE33" s="3">
        <f>+'St of Act-Rev'!AG33-BC33</f>
        <v>-51317</v>
      </c>
      <c r="BF33" s="3"/>
      <c r="BG33" s="3">
        <v>2750435</v>
      </c>
      <c r="BH33" s="3"/>
      <c r="BI33" s="3">
        <f t="shared" si="6"/>
        <v>2699118</v>
      </c>
      <c r="BK33" s="3">
        <f>+'St of Net Assets'!AA33-BI33</f>
        <v>0</v>
      </c>
      <c r="BN33" s="3"/>
      <c r="BO33" s="3" t="str">
        <f t="shared" si="4"/>
        <v>Jefferson County JVSD</v>
      </c>
      <c r="BP33" s="3" t="str">
        <f t="shared" si="5"/>
        <v>Jefferson County JVSD</v>
      </c>
      <c r="BQ33" s="16" t="b">
        <f t="shared" si="0"/>
        <v>1</v>
      </c>
      <c r="BS33" s="3" t="str">
        <f t="shared" si="1"/>
        <v>Jefferson</v>
      </c>
      <c r="BT33" s="3" t="b">
        <f t="shared" si="2"/>
        <v>1</v>
      </c>
    </row>
    <row r="34" spans="1:72">
      <c r="A34" s="3" t="s">
        <v>255</v>
      </c>
      <c r="B34" s="16"/>
      <c r="C34" s="16" t="s">
        <v>174</v>
      </c>
      <c r="E34" s="16">
        <v>51144</v>
      </c>
      <c r="G34" s="3">
        <v>171536</v>
      </c>
      <c r="H34" s="3"/>
      <c r="I34" s="3">
        <v>0</v>
      </c>
      <c r="J34" s="3"/>
      <c r="K34" s="3">
        <v>5509517</v>
      </c>
      <c r="L34" s="3"/>
      <c r="M34" s="32">
        <v>1451104</v>
      </c>
      <c r="N34" s="3"/>
      <c r="O34" s="3">
        <v>0</v>
      </c>
      <c r="P34" s="3"/>
      <c r="Q34" s="3">
        <v>594222</v>
      </c>
      <c r="R34" s="3"/>
      <c r="S34" s="3">
        <v>784426</v>
      </c>
      <c r="T34" s="3"/>
      <c r="U34" s="3">
        <v>17293</v>
      </c>
      <c r="V34" s="3"/>
      <c r="W34" s="3">
        <v>1083029</v>
      </c>
      <c r="X34" s="3"/>
      <c r="Y34" s="3">
        <v>435402</v>
      </c>
      <c r="Z34" s="3"/>
      <c r="AA34" s="3">
        <v>48933</v>
      </c>
      <c r="AB34" s="3"/>
      <c r="AC34" s="3">
        <v>1327573</v>
      </c>
      <c r="AD34" s="3"/>
      <c r="AE34" s="3" t="s">
        <v>255</v>
      </c>
      <c r="AF34" s="16"/>
      <c r="AG34" s="16" t="s">
        <v>174</v>
      </c>
      <c r="AH34" s="16"/>
      <c r="AI34" s="3">
        <v>0</v>
      </c>
      <c r="AJ34" s="3"/>
      <c r="AK34" s="3">
        <v>124589</v>
      </c>
      <c r="AL34" s="3"/>
      <c r="AM34" s="3">
        <v>0</v>
      </c>
      <c r="AN34" s="3"/>
      <c r="AO34" s="3">
        <v>0</v>
      </c>
      <c r="AP34" s="3"/>
      <c r="AQ34" s="3">
        <v>220303</v>
      </c>
      <c r="AR34" s="3"/>
      <c r="AS34" s="3">
        <v>46806</v>
      </c>
      <c r="AT34" s="3"/>
      <c r="AU34" s="3">
        <v>216887</v>
      </c>
      <c r="AV34" s="3"/>
      <c r="AW34" s="3">
        <v>0</v>
      </c>
      <c r="AX34" s="3"/>
      <c r="AY34" s="3"/>
      <c r="AZ34" s="3"/>
      <c r="BA34" s="3">
        <v>0</v>
      </c>
      <c r="BB34" s="3"/>
      <c r="BC34" s="3">
        <f t="shared" si="3"/>
        <v>12031620</v>
      </c>
      <c r="BD34" s="3"/>
      <c r="BE34" s="3">
        <f>+'St of Act-Rev'!AG34-BC34</f>
        <v>-95954</v>
      </c>
      <c r="BF34" s="3"/>
      <c r="BG34" s="3">
        <v>30877436</v>
      </c>
      <c r="BH34" s="3"/>
      <c r="BI34" s="3">
        <f t="shared" si="6"/>
        <v>30781482</v>
      </c>
      <c r="BK34" s="3">
        <f>+'St of Net Assets'!AA34-BI34</f>
        <v>0</v>
      </c>
      <c r="BN34" s="3"/>
      <c r="BO34" s="3" t="str">
        <f t="shared" si="4"/>
        <v>Knox County Career Center</v>
      </c>
      <c r="BP34" s="3" t="str">
        <f t="shared" si="5"/>
        <v>Knox County Career Center</v>
      </c>
      <c r="BQ34" s="16" t="b">
        <f t="shared" si="0"/>
        <v>1</v>
      </c>
      <c r="BS34" s="3" t="str">
        <f t="shared" si="1"/>
        <v>Knox</v>
      </c>
      <c r="BT34" s="3" t="b">
        <f t="shared" si="2"/>
        <v>1</v>
      </c>
    </row>
    <row r="35" spans="1:72">
      <c r="A35" s="3" t="s">
        <v>217</v>
      </c>
      <c r="B35" s="16"/>
      <c r="C35" s="16" t="s">
        <v>175</v>
      </c>
      <c r="E35" s="16">
        <v>51185</v>
      </c>
      <c r="G35" s="3">
        <v>190003</v>
      </c>
      <c r="H35" s="3"/>
      <c r="I35" s="3">
        <v>0</v>
      </c>
      <c r="J35" s="3"/>
      <c r="K35" s="3">
        <v>6196004</v>
      </c>
      <c r="L35" s="3"/>
      <c r="M35" s="32">
        <v>2351808</v>
      </c>
      <c r="N35" s="3"/>
      <c r="O35" s="3">
        <v>0</v>
      </c>
      <c r="P35" s="3"/>
      <c r="Q35" s="3">
        <v>431589</v>
      </c>
      <c r="R35" s="3"/>
      <c r="S35" s="3">
        <v>107503</v>
      </c>
      <c r="T35" s="3"/>
      <c r="U35" s="3">
        <v>63191</v>
      </c>
      <c r="V35" s="3"/>
      <c r="W35" s="3">
        <v>1024201</v>
      </c>
      <c r="X35" s="3"/>
      <c r="Y35" s="3">
        <v>438126</v>
      </c>
      <c r="Z35" s="3"/>
      <c r="AA35" s="3">
        <v>0</v>
      </c>
      <c r="AB35" s="3"/>
      <c r="AC35" s="3">
        <v>820071</v>
      </c>
      <c r="AD35" s="3"/>
      <c r="AE35" s="3" t="s">
        <v>217</v>
      </c>
      <c r="AF35" s="16"/>
      <c r="AG35" s="16" t="s">
        <v>175</v>
      </c>
      <c r="AH35" s="16"/>
      <c r="AI35" s="3">
        <v>0</v>
      </c>
      <c r="AJ35" s="3"/>
      <c r="AK35" s="3">
        <v>294788</v>
      </c>
      <c r="AL35" s="3"/>
      <c r="AM35" s="3">
        <v>0</v>
      </c>
      <c r="AN35" s="3"/>
      <c r="AO35" s="3">
        <v>271955</v>
      </c>
      <c r="AP35" s="3"/>
      <c r="AQ35" s="3">
        <v>1575058</v>
      </c>
      <c r="AR35" s="3"/>
      <c r="AS35" s="3">
        <v>41836</v>
      </c>
      <c r="AT35" s="3"/>
      <c r="AU35" s="3">
        <v>486814</v>
      </c>
      <c r="AV35" s="3"/>
      <c r="AW35" s="3">
        <v>0</v>
      </c>
      <c r="AX35" s="3"/>
      <c r="AY35" s="3"/>
      <c r="AZ35" s="3"/>
      <c r="BA35" s="3">
        <v>0</v>
      </c>
      <c r="BB35" s="3"/>
      <c r="BC35" s="3">
        <f t="shared" si="3"/>
        <v>14292947</v>
      </c>
      <c r="BD35" s="3"/>
      <c r="BE35" s="3">
        <f>+'St of Act-Rev'!AG35-BC35</f>
        <v>13550710</v>
      </c>
      <c r="BF35" s="3"/>
      <c r="BG35" s="3">
        <v>8586246</v>
      </c>
      <c r="BH35" s="3"/>
      <c r="BI35" s="3">
        <f t="shared" si="6"/>
        <v>22136956</v>
      </c>
      <c r="BK35" s="3">
        <f>+'St of Net Assets'!AA35-BI35</f>
        <v>0</v>
      </c>
      <c r="BN35" s="3"/>
      <c r="BO35" s="3" t="str">
        <f t="shared" si="4"/>
        <v>Lawrence County JVSD</v>
      </c>
      <c r="BP35" s="3" t="str">
        <f t="shared" si="5"/>
        <v>Lawrence County JVSD</v>
      </c>
      <c r="BQ35" s="16" t="b">
        <f t="shared" si="0"/>
        <v>1</v>
      </c>
      <c r="BS35" s="3" t="str">
        <f t="shared" si="1"/>
        <v>Lawrence</v>
      </c>
      <c r="BT35" s="3" t="b">
        <f t="shared" si="2"/>
        <v>1</v>
      </c>
    </row>
    <row r="36" spans="1:72" s="72" customFormat="1" hidden="1">
      <c r="A36" s="65" t="s">
        <v>308</v>
      </c>
      <c r="B36" s="66"/>
      <c r="C36" s="66" t="s">
        <v>176</v>
      </c>
      <c r="E36" s="66">
        <v>47977</v>
      </c>
      <c r="G36" s="65"/>
      <c r="H36" s="65"/>
      <c r="I36" s="65"/>
      <c r="J36" s="65"/>
      <c r="K36" s="65"/>
      <c r="L36" s="65"/>
      <c r="M36" s="80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 t="s">
        <v>308</v>
      </c>
      <c r="AF36" s="66"/>
      <c r="AG36" s="66" t="s">
        <v>176</v>
      </c>
      <c r="AH36" s="66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>
        <f t="shared" si="3"/>
        <v>0</v>
      </c>
      <c r="BD36" s="65"/>
      <c r="BE36" s="65">
        <f>+'St of Act-Rev'!AG36-BC36</f>
        <v>0</v>
      </c>
      <c r="BF36" s="65"/>
      <c r="BG36" s="65"/>
      <c r="BH36" s="65"/>
      <c r="BI36" s="65">
        <f t="shared" si="6"/>
        <v>0</v>
      </c>
      <c r="BJ36" s="74"/>
      <c r="BK36" s="65">
        <f>+'St of Net Assets'!AA36-BI36</f>
        <v>0</v>
      </c>
      <c r="BL36" s="74"/>
      <c r="BM36" s="74"/>
      <c r="BN36" s="65" t="s">
        <v>389</v>
      </c>
      <c r="BO36" s="65" t="str">
        <f t="shared" si="4"/>
        <v>Licking Co Career &amp; Tech Center</v>
      </c>
      <c r="BP36" s="65" t="str">
        <f t="shared" si="5"/>
        <v>Licking Co Career &amp; Tech Center</v>
      </c>
      <c r="BQ36" s="66" t="b">
        <f t="shared" si="0"/>
        <v>1</v>
      </c>
      <c r="BS36" s="65" t="str">
        <f t="shared" si="1"/>
        <v>Licking</v>
      </c>
      <c r="BT36" s="65" t="b">
        <f t="shared" si="2"/>
        <v>1</v>
      </c>
    </row>
    <row r="37" spans="1:72">
      <c r="A37" s="3" t="s">
        <v>219</v>
      </c>
      <c r="B37" s="16"/>
      <c r="C37" s="16" t="s">
        <v>145</v>
      </c>
      <c r="E37" s="16">
        <v>51227</v>
      </c>
      <c r="G37" s="3">
        <v>2218781</v>
      </c>
      <c r="H37" s="3"/>
      <c r="I37" s="3">
        <v>2554</v>
      </c>
      <c r="J37" s="3"/>
      <c r="K37" s="3">
        <v>9780102</v>
      </c>
      <c r="L37" s="3"/>
      <c r="M37" s="32">
        <v>1918609</v>
      </c>
      <c r="N37" s="3"/>
      <c r="O37" s="3">
        <v>0</v>
      </c>
      <c r="P37" s="3"/>
      <c r="Q37" s="3">
        <v>1774361</v>
      </c>
      <c r="R37" s="3"/>
      <c r="S37" s="3">
        <v>1923996</v>
      </c>
      <c r="T37" s="3"/>
      <c r="U37" s="3">
        <v>56008</v>
      </c>
      <c r="V37" s="3"/>
      <c r="W37" s="3">
        <v>1955480</v>
      </c>
      <c r="X37" s="3"/>
      <c r="Y37" s="3">
        <v>782068</v>
      </c>
      <c r="Z37" s="3"/>
      <c r="AA37" s="3">
        <v>172640</v>
      </c>
      <c r="AB37" s="3"/>
      <c r="AC37" s="3">
        <v>3903044</v>
      </c>
      <c r="AD37" s="3"/>
      <c r="AE37" s="3" t="s">
        <v>219</v>
      </c>
      <c r="AF37" s="16"/>
      <c r="AG37" s="16" t="s">
        <v>145</v>
      </c>
      <c r="AH37" s="16"/>
      <c r="AI37" s="3">
        <v>78915</v>
      </c>
      <c r="AJ37" s="3"/>
      <c r="AK37" s="3">
        <v>1032024</v>
      </c>
      <c r="AL37" s="3"/>
      <c r="AM37" s="3">
        <v>0</v>
      </c>
      <c r="AN37" s="3"/>
      <c r="AO37" s="3">
        <v>0</v>
      </c>
      <c r="AP37" s="3"/>
      <c r="AQ37" s="3">
        <v>504768</v>
      </c>
      <c r="AR37" s="3"/>
      <c r="AS37" s="3">
        <v>343543</v>
      </c>
      <c r="AT37" s="3"/>
      <c r="AU37" s="3">
        <v>0</v>
      </c>
      <c r="AV37" s="3"/>
      <c r="AW37" s="3">
        <v>0</v>
      </c>
      <c r="AX37" s="3"/>
      <c r="AY37" s="3"/>
      <c r="AZ37" s="3"/>
      <c r="BA37" s="3">
        <v>0</v>
      </c>
      <c r="BB37" s="3"/>
      <c r="BC37" s="3">
        <f t="shared" si="3"/>
        <v>26446893</v>
      </c>
      <c r="BD37" s="3"/>
      <c r="BE37" s="3">
        <f>+'St of Act-Rev'!AG37-BC37</f>
        <v>-989996</v>
      </c>
      <c r="BF37" s="3"/>
      <c r="BG37" s="3">
        <v>18437247</v>
      </c>
      <c r="BH37" s="3"/>
      <c r="BI37" s="3">
        <f t="shared" si="6"/>
        <v>17447251</v>
      </c>
      <c r="BK37" s="3">
        <f>+'St of Net Assets'!AA37-BI37</f>
        <v>0</v>
      </c>
      <c r="BN37" s="3" t="s">
        <v>383</v>
      </c>
      <c r="BO37" s="3" t="str">
        <f t="shared" si="4"/>
        <v>Lorain County JVSD</v>
      </c>
      <c r="BP37" s="3" t="str">
        <f t="shared" si="5"/>
        <v>Lorain County JVSD</v>
      </c>
      <c r="BQ37" s="16" t="b">
        <f t="shared" si="0"/>
        <v>1</v>
      </c>
      <c r="BS37" s="3" t="str">
        <f t="shared" si="1"/>
        <v>Lorain</v>
      </c>
      <c r="BT37" s="3" t="b">
        <f t="shared" si="2"/>
        <v>1</v>
      </c>
    </row>
    <row r="38" spans="1:72">
      <c r="A38" s="3" t="s">
        <v>309</v>
      </c>
      <c r="B38" s="16"/>
      <c r="C38" s="16" t="s">
        <v>179</v>
      </c>
      <c r="E38" s="16">
        <v>51243</v>
      </c>
      <c r="G38" s="3">
        <v>1347883</v>
      </c>
      <c r="H38" s="3"/>
      <c r="I38" s="3">
        <v>0</v>
      </c>
      <c r="J38" s="3"/>
      <c r="K38" s="3">
        <v>4346553</v>
      </c>
      <c r="L38" s="3"/>
      <c r="M38" s="32">
        <v>575908</v>
      </c>
      <c r="N38" s="3"/>
      <c r="O38" s="3">
        <v>0</v>
      </c>
      <c r="P38" s="3"/>
      <c r="Q38" s="3">
        <v>1131827</v>
      </c>
      <c r="R38" s="3"/>
      <c r="S38" s="3">
        <v>1731106</v>
      </c>
      <c r="T38" s="3"/>
      <c r="U38" s="3">
        <v>59251</v>
      </c>
      <c r="V38" s="3"/>
      <c r="W38" s="3">
        <v>913058</v>
      </c>
      <c r="X38" s="3"/>
      <c r="Y38" s="3">
        <v>416625</v>
      </c>
      <c r="Z38" s="3"/>
      <c r="AA38" s="3">
        <v>1886</v>
      </c>
      <c r="AB38" s="3"/>
      <c r="AC38" s="3">
        <v>1178352</v>
      </c>
      <c r="AD38" s="3"/>
      <c r="AE38" s="3" t="s">
        <v>309</v>
      </c>
      <c r="AF38" s="16"/>
      <c r="AG38" s="16" t="s">
        <v>179</v>
      </c>
      <c r="AH38" s="16"/>
      <c r="AI38" s="3">
        <v>41111</v>
      </c>
      <c r="AJ38" s="3"/>
      <c r="AK38" s="3">
        <v>135736</v>
      </c>
      <c r="AL38" s="3"/>
      <c r="AM38" s="3">
        <v>0</v>
      </c>
      <c r="AN38" s="3"/>
      <c r="AO38" s="3">
        <v>307013</v>
      </c>
      <c r="AP38" s="3"/>
      <c r="AQ38" s="3">
        <v>12369</v>
      </c>
      <c r="AR38" s="3"/>
      <c r="AS38" s="3">
        <v>70043</v>
      </c>
      <c r="AT38" s="3"/>
      <c r="AU38" s="3">
        <v>720034</v>
      </c>
      <c r="AV38" s="3"/>
      <c r="AW38" s="3">
        <v>0</v>
      </c>
      <c r="AX38" s="3"/>
      <c r="AY38" s="3"/>
      <c r="AZ38" s="3"/>
      <c r="BA38" s="3">
        <v>0</v>
      </c>
      <c r="BB38" s="3"/>
      <c r="BC38" s="3">
        <f t="shared" si="3"/>
        <v>12988755</v>
      </c>
      <c r="BD38" s="3"/>
      <c r="BE38" s="3">
        <f>+'St of Act-Rev'!AG38-BC38</f>
        <v>-25161</v>
      </c>
      <c r="BF38" s="3"/>
      <c r="BG38" s="3">
        <v>33881733</v>
      </c>
      <c r="BH38" s="3"/>
      <c r="BI38" s="3">
        <f t="shared" si="6"/>
        <v>33856572</v>
      </c>
      <c r="BK38" s="3">
        <f>+'St of Net Assets'!AA38-BI38</f>
        <v>0</v>
      </c>
      <c r="BN38" s="3"/>
      <c r="BO38" s="3" t="str">
        <f t="shared" si="4"/>
        <v>Mahoning Co Career &amp; Tech Center</v>
      </c>
      <c r="BP38" s="3" t="str">
        <f t="shared" si="5"/>
        <v>Mahoning Co Career &amp; Tech Center</v>
      </c>
      <c r="BQ38" s="16" t="b">
        <f t="shared" si="0"/>
        <v>1</v>
      </c>
      <c r="BS38" s="3" t="str">
        <f t="shared" si="1"/>
        <v>Mahoning</v>
      </c>
      <c r="BT38" s="3" t="b">
        <f t="shared" si="2"/>
        <v>1</v>
      </c>
    </row>
    <row r="39" spans="1:72">
      <c r="A39" s="3" t="s">
        <v>256</v>
      </c>
      <c r="B39" s="16"/>
      <c r="C39" s="16" t="s">
        <v>190</v>
      </c>
      <c r="E39" s="16">
        <v>51391</v>
      </c>
      <c r="G39" s="3">
        <v>1049142</v>
      </c>
      <c r="H39" s="3"/>
      <c r="I39" s="3">
        <v>0</v>
      </c>
      <c r="J39" s="3"/>
      <c r="K39" s="3">
        <v>4331117</v>
      </c>
      <c r="L39" s="3"/>
      <c r="M39" s="32">
        <v>175333</v>
      </c>
      <c r="N39" s="3"/>
      <c r="O39" s="3">
        <v>0</v>
      </c>
      <c r="P39" s="3"/>
      <c r="Q39" s="3">
        <v>879003</v>
      </c>
      <c r="R39" s="3"/>
      <c r="S39" s="3">
        <v>485331</v>
      </c>
      <c r="T39" s="3"/>
      <c r="U39" s="3">
        <v>58948</v>
      </c>
      <c r="V39" s="3"/>
      <c r="W39" s="3">
        <v>731811</v>
      </c>
      <c r="X39" s="3"/>
      <c r="Y39" s="3">
        <v>441118</v>
      </c>
      <c r="Z39" s="3"/>
      <c r="AA39" s="3">
        <v>215486</v>
      </c>
      <c r="AB39" s="3"/>
      <c r="AC39" s="3">
        <v>999323</v>
      </c>
      <c r="AD39" s="3"/>
      <c r="AE39" s="3" t="s">
        <v>256</v>
      </c>
      <c r="AF39" s="16"/>
      <c r="AG39" s="16" t="s">
        <v>190</v>
      </c>
      <c r="AH39" s="16"/>
      <c r="AI39" s="3">
        <v>18996</v>
      </c>
      <c r="AJ39" s="3"/>
      <c r="AK39" s="3">
        <v>291754</v>
      </c>
      <c r="AL39" s="3"/>
      <c r="AM39" s="3">
        <v>0</v>
      </c>
      <c r="AN39" s="3"/>
      <c r="AO39" s="3">
        <v>257545</v>
      </c>
      <c r="AP39" s="3"/>
      <c r="AQ39" s="3">
        <v>56048</v>
      </c>
      <c r="AR39" s="3"/>
      <c r="AS39" s="3">
        <v>25770</v>
      </c>
      <c r="AT39" s="3"/>
      <c r="AU39" s="3">
        <v>0</v>
      </c>
      <c r="AV39" s="3"/>
      <c r="AW39" s="3">
        <v>0</v>
      </c>
      <c r="AX39" s="3"/>
      <c r="AY39" s="3"/>
      <c r="AZ39" s="3"/>
      <c r="BA39" s="3">
        <v>0</v>
      </c>
      <c r="BB39" s="3"/>
      <c r="BC39" s="3">
        <f t="shared" si="3"/>
        <v>10016725</v>
      </c>
      <c r="BD39" s="3"/>
      <c r="BE39" s="3">
        <f>+'St of Act-Rev'!AG39-BC39</f>
        <v>3091606</v>
      </c>
      <c r="BF39" s="3"/>
      <c r="BG39" s="3">
        <v>28228129</v>
      </c>
      <c r="BH39" s="3"/>
      <c r="BI39" s="3">
        <f t="shared" si="6"/>
        <v>31319735</v>
      </c>
      <c r="BK39" s="3">
        <f>+'St of Net Assets'!AA39-BI39</f>
        <v>0</v>
      </c>
      <c r="BN39" s="3"/>
      <c r="BO39" s="3" t="str">
        <f t="shared" si="4"/>
        <v>Maplewood Career Center</v>
      </c>
      <c r="BP39" s="3" t="str">
        <f t="shared" si="5"/>
        <v>Maplewood Career Center</v>
      </c>
      <c r="BQ39" s="16" t="b">
        <f t="shared" si="0"/>
        <v>1</v>
      </c>
      <c r="BS39" s="3" t="str">
        <f t="shared" si="1"/>
        <v>Portage</v>
      </c>
      <c r="BT39" s="3" t="b">
        <f t="shared" si="2"/>
        <v>1</v>
      </c>
    </row>
    <row r="40" spans="1:72">
      <c r="A40" s="3" t="s">
        <v>223</v>
      </c>
      <c r="B40" s="16"/>
      <c r="C40" s="16" t="s">
        <v>181</v>
      </c>
      <c r="E40" s="16">
        <v>62109</v>
      </c>
      <c r="G40" s="3">
        <v>2797522</v>
      </c>
      <c r="H40" s="3"/>
      <c r="I40" s="3">
        <v>499214</v>
      </c>
      <c r="J40" s="3"/>
      <c r="K40" s="3">
        <v>4948955</v>
      </c>
      <c r="L40" s="3"/>
      <c r="M40" s="32">
        <v>81798</v>
      </c>
      <c r="N40" s="3"/>
      <c r="O40" s="3">
        <v>0</v>
      </c>
      <c r="P40" s="3"/>
      <c r="Q40" s="3">
        <v>1727959</v>
      </c>
      <c r="R40" s="3"/>
      <c r="S40" s="3">
        <v>659667</v>
      </c>
      <c r="T40" s="3"/>
      <c r="U40" s="3">
        <v>36021</v>
      </c>
      <c r="V40" s="3"/>
      <c r="W40" s="3">
        <v>1795602</v>
      </c>
      <c r="X40" s="3"/>
      <c r="Y40" s="3">
        <v>528833</v>
      </c>
      <c r="Z40" s="3"/>
      <c r="AA40" s="3">
        <v>215532</v>
      </c>
      <c r="AB40" s="3"/>
      <c r="AC40" s="3">
        <v>1567212</v>
      </c>
      <c r="AD40" s="3"/>
      <c r="AE40" s="3" t="s">
        <v>223</v>
      </c>
      <c r="AF40" s="16"/>
      <c r="AG40" s="16" t="s">
        <v>181</v>
      </c>
      <c r="AH40" s="16"/>
      <c r="AI40" s="3">
        <v>38185</v>
      </c>
      <c r="AJ40" s="3"/>
      <c r="AK40" s="3">
        <v>202421</v>
      </c>
      <c r="AL40" s="3"/>
      <c r="AM40" s="3">
        <v>0</v>
      </c>
      <c r="AN40" s="3"/>
      <c r="AO40" s="3">
        <v>0</v>
      </c>
      <c r="AP40" s="3"/>
      <c r="AQ40" s="3">
        <v>75931</v>
      </c>
      <c r="AR40" s="3"/>
      <c r="AS40" s="3">
        <v>24061</v>
      </c>
      <c r="AT40" s="3"/>
      <c r="AU40" s="3">
        <v>0</v>
      </c>
      <c r="AV40" s="3"/>
      <c r="AW40" s="3">
        <v>10000</v>
      </c>
      <c r="AX40" s="3"/>
      <c r="AY40" s="3"/>
      <c r="AZ40" s="3"/>
      <c r="BA40" s="3">
        <v>0</v>
      </c>
      <c r="BB40" s="3"/>
      <c r="BC40" s="3">
        <f t="shared" si="3"/>
        <v>15208913</v>
      </c>
      <c r="BD40" s="3"/>
      <c r="BE40" s="3">
        <f>+'St of Act-Rev'!AG40-BC40</f>
        <v>1303027</v>
      </c>
      <c r="BF40" s="3"/>
      <c r="BG40" s="3">
        <v>13843958</v>
      </c>
      <c r="BH40" s="3"/>
      <c r="BI40" s="3">
        <f t="shared" si="6"/>
        <v>15146985</v>
      </c>
      <c r="BK40" s="3">
        <f>+'St of Net Assets'!AA40-BI40</f>
        <v>0</v>
      </c>
      <c r="BN40" s="3"/>
      <c r="BO40" s="3" t="str">
        <f t="shared" si="4"/>
        <v>Medina County JVSD</v>
      </c>
      <c r="BP40" s="3" t="str">
        <f t="shared" si="5"/>
        <v>Medina County JVSD</v>
      </c>
      <c r="BQ40" s="16" t="b">
        <f t="shared" si="0"/>
        <v>1</v>
      </c>
      <c r="BS40" s="3" t="str">
        <f t="shared" si="1"/>
        <v>Medina</v>
      </c>
      <c r="BT40" s="3" t="b">
        <f t="shared" si="2"/>
        <v>1</v>
      </c>
    </row>
    <row r="41" spans="1:72">
      <c r="A41" s="3" t="s">
        <v>310</v>
      </c>
      <c r="B41" s="16"/>
      <c r="C41" s="16" t="s">
        <v>184</v>
      </c>
      <c r="E41" s="16">
        <v>51284</v>
      </c>
      <c r="G41" s="3">
        <v>63230</v>
      </c>
      <c r="H41" s="3"/>
      <c r="I41" s="3">
        <v>422730</v>
      </c>
      <c r="J41" s="3"/>
      <c r="K41" s="3">
        <v>18409376</v>
      </c>
      <c r="L41" s="3"/>
      <c r="M41" s="32">
        <v>4432986</v>
      </c>
      <c r="N41" s="3"/>
      <c r="O41" s="3">
        <v>0</v>
      </c>
      <c r="P41" s="3"/>
      <c r="Q41" s="3">
        <v>1550945</v>
      </c>
      <c r="R41" s="3"/>
      <c r="S41" s="3">
        <v>2112054</v>
      </c>
      <c r="T41" s="3"/>
      <c r="U41" s="3">
        <v>55241</v>
      </c>
      <c r="V41" s="3"/>
      <c r="W41" s="3">
        <v>2122629</v>
      </c>
      <c r="X41" s="3"/>
      <c r="Y41" s="3">
        <v>827421</v>
      </c>
      <c r="Z41" s="3"/>
      <c r="AA41" s="3">
        <v>435584</v>
      </c>
      <c r="AB41" s="3"/>
      <c r="AC41" s="3">
        <v>3459398</v>
      </c>
      <c r="AD41" s="3"/>
      <c r="AE41" s="3" t="s">
        <v>310</v>
      </c>
      <c r="AF41" s="16"/>
      <c r="AG41" s="16" t="s">
        <v>184</v>
      </c>
      <c r="AH41" s="16"/>
      <c r="AI41" s="3">
        <v>102415</v>
      </c>
      <c r="AJ41" s="3"/>
      <c r="AK41" s="3">
        <v>2573910</v>
      </c>
      <c r="AL41" s="3"/>
      <c r="AM41" s="3">
        <v>0</v>
      </c>
      <c r="AN41" s="3"/>
      <c r="AO41" s="3">
        <v>0</v>
      </c>
      <c r="AP41" s="3"/>
      <c r="AQ41" s="3">
        <v>0</v>
      </c>
      <c r="AR41" s="3"/>
      <c r="AS41" s="3">
        <v>124268</v>
      </c>
      <c r="AT41" s="3"/>
      <c r="AU41" s="3">
        <v>326724</v>
      </c>
      <c r="AV41" s="3"/>
      <c r="AW41" s="3">
        <v>0</v>
      </c>
      <c r="AX41" s="3"/>
      <c r="AY41" s="3"/>
      <c r="AZ41" s="3"/>
      <c r="BA41" s="3">
        <v>0</v>
      </c>
      <c r="BB41" s="3"/>
      <c r="BC41" s="3">
        <f t="shared" si="3"/>
        <v>37018911</v>
      </c>
      <c r="BD41" s="3"/>
      <c r="BE41" s="3">
        <f>+'St of Act-Rev'!AG41-BC41</f>
        <v>-1420228</v>
      </c>
      <c r="BF41" s="3"/>
      <c r="BG41" s="3">
        <v>17523262</v>
      </c>
      <c r="BH41" s="3"/>
      <c r="BI41" s="3">
        <f t="shared" si="6"/>
        <v>16103034</v>
      </c>
      <c r="BK41" s="3">
        <f>+'St of Net Assets'!AA41-BI41</f>
        <v>0</v>
      </c>
      <c r="BN41" s="3" t="s">
        <v>396</v>
      </c>
      <c r="BO41" s="3" t="str">
        <f t="shared" si="4"/>
        <v>Miami Valley Career Tech Center</v>
      </c>
      <c r="BP41" s="3" t="str">
        <f t="shared" si="5"/>
        <v>Miami Valley Career Tech Center</v>
      </c>
      <c r="BQ41" s="16" t="b">
        <f t="shared" si="0"/>
        <v>1</v>
      </c>
      <c r="BS41" s="3" t="str">
        <f t="shared" si="1"/>
        <v>Montgomery</v>
      </c>
      <c r="BT41" s="3" t="b">
        <f t="shared" si="2"/>
        <v>1</v>
      </c>
    </row>
    <row r="42" spans="1:72">
      <c r="A42" s="3" t="s">
        <v>397</v>
      </c>
      <c r="B42" s="16"/>
      <c r="C42" s="16" t="s">
        <v>186</v>
      </c>
      <c r="E42" s="16">
        <v>51300</v>
      </c>
      <c r="G42" s="3">
        <v>1866224</v>
      </c>
      <c r="H42" s="3"/>
      <c r="I42" s="3">
        <v>0</v>
      </c>
      <c r="J42" s="3"/>
      <c r="K42" s="3">
        <v>6788358</v>
      </c>
      <c r="L42" s="3"/>
      <c r="M42" s="32">
        <v>2873304</v>
      </c>
      <c r="N42" s="3"/>
      <c r="O42" s="3">
        <v>0</v>
      </c>
      <c r="P42" s="3"/>
      <c r="Q42" s="3">
        <v>985215</v>
      </c>
      <c r="R42" s="3"/>
      <c r="S42" s="3">
        <v>729073</v>
      </c>
      <c r="T42" s="3"/>
      <c r="U42" s="3">
        <v>82570</v>
      </c>
      <c r="V42" s="3"/>
      <c r="W42" s="3">
        <v>1431754</v>
      </c>
      <c r="X42" s="3"/>
      <c r="Y42" s="3">
        <v>724611</v>
      </c>
      <c r="Z42" s="3"/>
      <c r="AA42" s="3">
        <v>188603</v>
      </c>
      <c r="AB42" s="3"/>
      <c r="AC42" s="3">
        <v>1348024</v>
      </c>
      <c r="AD42" s="3"/>
      <c r="AE42" s="3" t="s">
        <v>397</v>
      </c>
      <c r="AF42" s="16"/>
      <c r="AG42" s="16" t="s">
        <v>186</v>
      </c>
      <c r="AH42" s="16"/>
      <c r="AI42" s="3">
        <v>75085</v>
      </c>
      <c r="AJ42" s="3"/>
      <c r="AK42" s="3">
        <v>508826</v>
      </c>
      <c r="AL42" s="3"/>
      <c r="AM42" s="3">
        <v>0</v>
      </c>
      <c r="AN42" s="3"/>
      <c r="AO42" s="3">
        <v>444627</v>
      </c>
      <c r="AP42" s="3"/>
      <c r="AQ42" s="3">
        <v>297</v>
      </c>
      <c r="AR42" s="3"/>
      <c r="AS42" s="3">
        <v>101652</v>
      </c>
      <c r="AT42" s="3"/>
      <c r="AU42" s="3">
        <v>668942</v>
      </c>
      <c r="AV42" s="3"/>
      <c r="AW42" s="3">
        <v>0</v>
      </c>
      <c r="AX42" s="3"/>
      <c r="AY42" s="3"/>
      <c r="AZ42" s="3"/>
      <c r="BA42" s="3">
        <v>0</v>
      </c>
      <c r="BB42" s="3"/>
      <c r="BC42" s="3">
        <f t="shared" si="3"/>
        <v>18817165</v>
      </c>
      <c r="BD42" s="3"/>
      <c r="BE42" s="3">
        <f>+'St of Act-Rev'!AG42-BC42</f>
        <v>9541573</v>
      </c>
      <c r="BF42" s="3"/>
      <c r="BG42" s="3">
        <v>44966411</v>
      </c>
      <c r="BH42" s="3"/>
      <c r="BI42" s="3">
        <f t="shared" si="6"/>
        <v>54507984</v>
      </c>
      <c r="BK42" s="3">
        <f>+'St of Net Assets'!AA42-BI42</f>
        <v>0</v>
      </c>
      <c r="BN42" s="3"/>
      <c r="BO42" s="3" t="str">
        <f t="shared" si="4"/>
        <v>Mid-East Career &amp; Tech Centers</v>
      </c>
      <c r="BP42" s="3" t="str">
        <f t="shared" si="5"/>
        <v>Mid-East Career &amp; Tech Centers</v>
      </c>
      <c r="BQ42" s="16" t="b">
        <f t="shared" si="0"/>
        <v>1</v>
      </c>
      <c r="BS42" s="3" t="str">
        <f t="shared" si="1"/>
        <v>Muskingum</v>
      </c>
      <c r="BT42" s="3" t="b">
        <f t="shared" si="2"/>
        <v>1</v>
      </c>
    </row>
    <row r="43" spans="1:72">
      <c r="A43" s="3" t="s">
        <v>218</v>
      </c>
      <c r="B43" s="16"/>
      <c r="C43" s="16" t="s">
        <v>177</v>
      </c>
      <c r="E43" s="16">
        <v>51334</v>
      </c>
      <c r="G43" s="3">
        <v>1384552</v>
      </c>
      <c r="H43" s="3"/>
      <c r="I43" s="3">
        <v>574899</v>
      </c>
      <c r="J43" s="3"/>
      <c r="K43" s="3">
        <v>4530376</v>
      </c>
      <c r="L43" s="3"/>
      <c r="M43" s="32">
        <v>1919478</v>
      </c>
      <c r="N43" s="3"/>
      <c r="O43" s="3">
        <v>9786</v>
      </c>
      <c r="P43" s="3"/>
      <c r="Q43" s="3">
        <v>804214</v>
      </c>
      <c r="R43" s="3"/>
      <c r="S43" s="3">
        <v>364037</v>
      </c>
      <c r="T43" s="3"/>
      <c r="U43" s="3">
        <v>55120</v>
      </c>
      <c r="V43" s="3"/>
      <c r="W43" s="3">
        <v>853383</v>
      </c>
      <c r="X43" s="3"/>
      <c r="Y43" s="3">
        <v>283038</v>
      </c>
      <c r="Z43" s="3"/>
      <c r="AA43" s="3">
        <v>1088132</v>
      </c>
      <c r="AB43" s="3"/>
      <c r="AC43" s="3">
        <v>1687081</v>
      </c>
      <c r="AD43" s="3"/>
      <c r="AE43" s="3" t="s">
        <v>218</v>
      </c>
      <c r="AF43" s="16"/>
      <c r="AG43" s="16" t="s">
        <v>177</v>
      </c>
      <c r="AH43" s="16"/>
      <c r="AI43" s="3">
        <v>70358</v>
      </c>
      <c r="AJ43" s="3"/>
      <c r="AK43" s="3">
        <v>864963</v>
      </c>
      <c r="AL43" s="3"/>
      <c r="AM43" s="3">
        <v>0</v>
      </c>
      <c r="AN43" s="3"/>
      <c r="AO43" s="3">
        <v>0</v>
      </c>
      <c r="AP43" s="3"/>
      <c r="AQ43" s="3">
        <v>281547</v>
      </c>
      <c r="AR43" s="3"/>
      <c r="AS43" s="3">
        <v>0</v>
      </c>
      <c r="AT43" s="3"/>
      <c r="AU43" s="3">
        <v>47360</v>
      </c>
      <c r="AV43" s="3"/>
      <c r="AW43" s="3">
        <v>0</v>
      </c>
      <c r="AX43" s="3"/>
      <c r="AY43" s="3"/>
      <c r="AZ43" s="3"/>
      <c r="BA43" s="3">
        <v>0</v>
      </c>
      <c r="BB43" s="3"/>
      <c r="BC43" s="3">
        <f t="shared" si="3"/>
        <v>14818324</v>
      </c>
      <c r="BD43" s="3"/>
      <c r="BE43" s="3">
        <f>+'St of Act-Rev'!AG43-BC43</f>
        <v>441655</v>
      </c>
      <c r="BF43" s="3"/>
      <c r="BG43" s="3">
        <v>13428461</v>
      </c>
      <c r="BH43" s="3"/>
      <c r="BI43" s="3">
        <f t="shared" si="6"/>
        <v>13870116</v>
      </c>
      <c r="BK43" s="3">
        <f>+'St of Net Assets'!AA43-BI43</f>
        <v>0</v>
      </c>
      <c r="BN43" s="32" t="s">
        <v>401</v>
      </c>
      <c r="BO43" s="3" t="str">
        <f t="shared" si="4"/>
        <v>Ohio Hi-Point JVSD</v>
      </c>
      <c r="BP43" s="3" t="str">
        <f t="shared" si="5"/>
        <v>Ohio Hi-Point JVSD</v>
      </c>
      <c r="BQ43" s="16" t="b">
        <f t="shared" si="0"/>
        <v>1</v>
      </c>
      <c r="BS43" s="3" t="str">
        <f t="shared" si="1"/>
        <v>Logan</v>
      </c>
      <c r="BT43" s="3" t="b">
        <f t="shared" si="2"/>
        <v>1</v>
      </c>
    </row>
    <row r="44" spans="1:72">
      <c r="A44" s="3" t="s">
        <v>402</v>
      </c>
      <c r="B44" s="16"/>
      <c r="C44" s="16" t="s">
        <v>209</v>
      </c>
      <c r="E44" s="16">
        <v>51359</v>
      </c>
      <c r="G44" s="3">
        <v>0</v>
      </c>
      <c r="H44" s="3"/>
      <c r="I44" s="3">
        <v>951406</v>
      </c>
      <c r="J44" s="3"/>
      <c r="K44" s="3">
        <v>16715584</v>
      </c>
      <c r="L44" s="3"/>
      <c r="M44" s="32">
        <v>1024596</v>
      </c>
      <c r="N44" s="3"/>
      <c r="O44" s="3">
        <v>530276</v>
      </c>
      <c r="P44" s="3"/>
      <c r="Q44" s="3">
        <v>2805480</v>
      </c>
      <c r="R44" s="3"/>
      <c r="S44" s="3">
        <v>2523136</v>
      </c>
      <c r="T44" s="3"/>
      <c r="U44" s="3">
        <v>58377</v>
      </c>
      <c r="V44" s="3"/>
      <c r="W44" s="3">
        <v>1187557</v>
      </c>
      <c r="X44" s="3"/>
      <c r="Y44" s="3">
        <v>659570</v>
      </c>
      <c r="Z44" s="3"/>
      <c r="AA44" s="3">
        <v>0</v>
      </c>
      <c r="AB44" s="3"/>
      <c r="AC44" s="3">
        <v>3012353</v>
      </c>
      <c r="AD44" s="3"/>
      <c r="AE44" s="3" t="s">
        <v>402</v>
      </c>
      <c r="AF44" s="16"/>
      <c r="AG44" s="16" t="s">
        <v>209</v>
      </c>
      <c r="AH44" s="16"/>
      <c r="AI44" s="3">
        <v>0</v>
      </c>
      <c r="AJ44" s="3"/>
      <c r="AK44" s="3">
        <v>302449</v>
      </c>
      <c r="AL44" s="3"/>
      <c r="AM44" s="3">
        <v>0</v>
      </c>
      <c r="AN44" s="3"/>
      <c r="AO44" s="3">
        <v>772686</v>
      </c>
      <c r="AP44" s="3"/>
      <c r="AQ44" s="3">
        <v>202530</v>
      </c>
      <c r="AR44" s="3"/>
      <c r="AS44" s="3">
        <v>221372</v>
      </c>
      <c r="AT44" s="3"/>
      <c r="AU44" s="3">
        <v>2650324</v>
      </c>
      <c r="AV44" s="3"/>
      <c r="AW44" s="3">
        <v>0</v>
      </c>
      <c r="AX44" s="3"/>
      <c r="AY44" s="3"/>
      <c r="AZ44" s="3"/>
      <c r="BA44" s="3">
        <v>0</v>
      </c>
      <c r="BB44" s="3"/>
      <c r="BC44" s="3">
        <f t="shared" si="3"/>
        <v>33617696</v>
      </c>
      <c r="BD44" s="3"/>
      <c r="BE44" s="3">
        <f>+'St of Act-Rev'!AG44-BC44</f>
        <v>3795729</v>
      </c>
      <c r="BF44" s="3"/>
      <c r="BG44" s="3">
        <v>50562609</v>
      </c>
      <c r="BH44" s="3"/>
      <c r="BI44" s="3">
        <f t="shared" si="6"/>
        <v>54358338</v>
      </c>
      <c r="BK44" s="3">
        <f>+'St of Net Assets'!AA44-BI44</f>
        <v>0</v>
      </c>
      <c r="BN44" s="32" t="s">
        <v>403</v>
      </c>
      <c r="BO44" s="3" t="str">
        <f t="shared" si="4"/>
        <v>Penta Career Center</v>
      </c>
      <c r="BP44" s="3" t="str">
        <f t="shared" si="5"/>
        <v>Penta Career Center</v>
      </c>
      <c r="BQ44" s="16" t="b">
        <f t="shared" si="0"/>
        <v>1</v>
      </c>
      <c r="BS44" s="3" t="str">
        <f t="shared" si="1"/>
        <v>Wood</v>
      </c>
      <c r="BT44" s="3" t="b">
        <f t="shared" si="2"/>
        <v>1</v>
      </c>
    </row>
    <row r="45" spans="1:72">
      <c r="A45" s="3" t="s">
        <v>407</v>
      </c>
      <c r="B45" s="16"/>
      <c r="C45" s="16" t="s">
        <v>194</v>
      </c>
      <c r="E45" s="16">
        <v>51433</v>
      </c>
      <c r="G45" s="3">
        <v>1170078</v>
      </c>
      <c r="H45" s="3"/>
      <c r="I45" s="3">
        <v>0</v>
      </c>
      <c r="J45" s="3"/>
      <c r="K45" s="3">
        <v>13243679</v>
      </c>
      <c r="L45" s="3"/>
      <c r="M45" s="32">
        <v>430</v>
      </c>
      <c r="N45" s="3"/>
      <c r="O45" s="3">
        <v>0</v>
      </c>
      <c r="P45" s="3"/>
      <c r="Q45" s="3">
        <v>1452550</v>
      </c>
      <c r="R45" s="3"/>
      <c r="S45" s="3">
        <v>1248713</v>
      </c>
      <c r="T45" s="3"/>
      <c r="U45" s="3">
        <v>52430</v>
      </c>
      <c r="V45" s="3"/>
      <c r="W45" s="3">
        <v>390463</v>
      </c>
      <c r="X45" s="3"/>
      <c r="Y45" s="3">
        <v>579747</v>
      </c>
      <c r="Z45" s="3"/>
      <c r="AA45" s="3">
        <v>7361</v>
      </c>
      <c r="AB45" s="3"/>
      <c r="AC45" s="3">
        <v>1230602</v>
      </c>
      <c r="AD45" s="3"/>
      <c r="AE45" s="3" t="s">
        <v>407</v>
      </c>
      <c r="AF45" s="16"/>
      <c r="AG45" s="16" t="s">
        <v>194</v>
      </c>
      <c r="AH45" s="16"/>
      <c r="AI45" s="3">
        <v>16529</v>
      </c>
      <c r="AJ45" s="3"/>
      <c r="AK45" s="3">
        <v>73058</v>
      </c>
      <c r="AL45" s="3"/>
      <c r="AM45" s="3">
        <v>0</v>
      </c>
      <c r="AN45" s="3"/>
      <c r="AO45" s="3">
        <v>0</v>
      </c>
      <c r="AP45" s="3"/>
      <c r="AQ45" s="3">
        <v>293008</v>
      </c>
      <c r="AR45" s="3"/>
      <c r="AS45" s="3">
        <v>18156</v>
      </c>
      <c r="AT45" s="3"/>
      <c r="AU45" s="3">
        <v>0</v>
      </c>
      <c r="AV45" s="3"/>
      <c r="AW45" s="3">
        <v>0</v>
      </c>
      <c r="AX45" s="3"/>
      <c r="AY45" s="3"/>
      <c r="AZ45" s="3"/>
      <c r="BA45" s="3">
        <v>0</v>
      </c>
      <c r="BB45" s="3"/>
      <c r="BC45" s="3">
        <f t="shared" si="3"/>
        <v>19776804</v>
      </c>
      <c r="BD45" s="3"/>
      <c r="BE45" s="3">
        <f>+'St of Act-Rev'!AG45-BC45</f>
        <v>904693</v>
      </c>
      <c r="BF45" s="3"/>
      <c r="BG45" s="3">
        <v>26343281</v>
      </c>
      <c r="BH45" s="3"/>
      <c r="BI45" s="3">
        <f t="shared" si="6"/>
        <v>27247974</v>
      </c>
      <c r="BK45" s="3">
        <f>+'St of Net Assets'!AA45-BI45</f>
        <v>0</v>
      </c>
      <c r="BN45" s="3"/>
      <c r="BO45" s="3" t="str">
        <f t="shared" si="4"/>
        <v>Pickaway-Ross Career &amp; Tech Center</v>
      </c>
      <c r="BP45" s="3" t="str">
        <f t="shared" si="5"/>
        <v>Pickaway-Ross Career &amp; Tech Center</v>
      </c>
      <c r="BQ45" s="16" t="b">
        <f t="shared" si="0"/>
        <v>1</v>
      </c>
      <c r="BS45" s="3" t="str">
        <f t="shared" si="1"/>
        <v>Ross</v>
      </c>
      <c r="BT45" s="3" t="b">
        <f t="shared" si="2"/>
        <v>1</v>
      </c>
    </row>
    <row r="46" spans="1:72">
      <c r="A46" s="3" t="s">
        <v>257</v>
      </c>
      <c r="B46" s="16"/>
      <c r="C46" s="16" t="s">
        <v>225</v>
      </c>
      <c r="E46" s="16">
        <v>51375</v>
      </c>
      <c r="G46" s="3">
        <v>0</v>
      </c>
      <c r="H46" s="3"/>
      <c r="I46" s="3">
        <v>152056</v>
      </c>
      <c r="J46" s="3"/>
      <c r="K46" s="3">
        <v>4705143</v>
      </c>
      <c r="L46" s="3"/>
      <c r="M46" s="32">
        <v>597407</v>
      </c>
      <c r="N46" s="3"/>
      <c r="O46" s="3">
        <v>0</v>
      </c>
      <c r="P46" s="3"/>
      <c r="Q46" s="3">
        <v>417099</v>
      </c>
      <c r="R46" s="3"/>
      <c r="S46" s="3">
        <v>381077</v>
      </c>
      <c r="T46" s="3"/>
      <c r="U46" s="3">
        <v>107428</v>
      </c>
      <c r="V46" s="3"/>
      <c r="W46" s="3">
        <v>607940</v>
      </c>
      <c r="X46" s="3"/>
      <c r="Y46" s="3">
        <v>393109</v>
      </c>
      <c r="Z46" s="3"/>
      <c r="AA46" s="3">
        <v>0</v>
      </c>
      <c r="AB46" s="3"/>
      <c r="AC46" s="3">
        <v>774317</v>
      </c>
      <c r="AD46" s="3"/>
      <c r="AE46" s="3" t="s">
        <v>257</v>
      </c>
      <c r="AF46" s="16"/>
      <c r="AG46" s="16" t="s">
        <v>225</v>
      </c>
      <c r="AH46" s="16"/>
      <c r="AI46" s="3">
        <v>24820</v>
      </c>
      <c r="AJ46" s="3"/>
      <c r="AK46" s="3">
        <v>230249</v>
      </c>
      <c r="AL46" s="3"/>
      <c r="AM46" s="3">
        <v>0</v>
      </c>
      <c r="AN46" s="3"/>
      <c r="AO46" s="3">
        <v>0</v>
      </c>
      <c r="AP46" s="3"/>
      <c r="AQ46" s="3">
        <v>363771</v>
      </c>
      <c r="AR46" s="3"/>
      <c r="AS46" s="3">
        <v>2631</v>
      </c>
      <c r="AT46" s="3"/>
      <c r="AU46" s="3">
        <v>175588</v>
      </c>
      <c r="AV46" s="3"/>
      <c r="AW46" s="3">
        <v>0</v>
      </c>
      <c r="AX46" s="3"/>
      <c r="AY46" s="3"/>
      <c r="AZ46" s="3"/>
      <c r="BA46" s="3">
        <v>0</v>
      </c>
      <c r="BB46" s="3"/>
      <c r="BC46" s="3">
        <f t="shared" si="3"/>
        <v>8932635</v>
      </c>
      <c r="BD46" s="3"/>
      <c r="BE46" s="3">
        <f>+'St of Act-Rev'!AG46-BC46</f>
        <v>-876380</v>
      </c>
      <c r="BF46" s="3"/>
      <c r="BG46" s="3">
        <v>19973259</v>
      </c>
      <c r="BH46" s="3"/>
      <c r="BI46" s="3">
        <f t="shared" si="6"/>
        <v>19096879</v>
      </c>
      <c r="BK46" s="3">
        <f>+'St of Net Assets'!AA46-BI46</f>
        <v>0</v>
      </c>
      <c r="BN46" s="3"/>
      <c r="BO46" s="3" t="str">
        <f t="shared" si="4"/>
        <v>Pike County JVSD</v>
      </c>
      <c r="BP46" s="3" t="str">
        <f t="shared" si="5"/>
        <v>Pike County JVSD</v>
      </c>
      <c r="BQ46" s="16" t="b">
        <f t="shared" ref="BQ46:BQ64" si="7">BO46=BP46</f>
        <v>1</v>
      </c>
      <c r="BS46" s="3" t="str">
        <f t="shared" ref="BS46:BS64" si="8">C46</f>
        <v>Pike</v>
      </c>
      <c r="BT46" s="3" t="b">
        <f t="shared" ref="BT46:BT64" si="9">C46=AG46</f>
        <v>1</v>
      </c>
    </row>
    <row r="47" spans="1:72">
      <c r="A47" s="3" t="s">
        <v>311</v>
      </c>
      <c r="B47" s="16"/>
      <c r="C47" s="16" t="s">
        <v>193</v>
      </c>
      <c r="E47" s="16">
        <v>51417</v>
      </c>
      <c r="G47" s="3">
        <v>922295</v>
      </c>
      <c r="H47" s="3"/>
      <c r="I47" s="3">
        <v>552380</v>
      </c>
      <c r="J47" s="3"/>
      <c r="K47" s="3">
        <v>9819849</v>
      </c>
      <c r="L47" s="3"/>
      <c r="M47" s="32">
        <v>388076</v>
      </c>
      <c r="N47" s="3"/>
      <c r="O47" s="3">
        <v>0</v>
      </c>
      <c r="P47" s="3"/>
      <c r="Q47" s="3">
        <v>1216093</v>
      </c>
      <c r="R47" s="3"/>
      <c r="S47" s="3">
        <v>1286788</v>
      </c>
      <c r="T47" s="3"/>
      <c r="U47" s="3">
        <v>94719</v>
      </c>
      <c r="V47" s="3"/>
      <c r="W47" s="3">
        <v>1216463</v>
      </c>
      <c r="X47" s="3"/>
      <c r="Y47" s="3">
        <v>488379</v>
      </c>
      <c r="Z47" s="3"/>
      <c r="AA47" s="3">
        <v>189630</v>
      </c>
      <c r="AB47" s="3"/>
      <c r="AC47" s="3">
        <v>1194671</v>
      </c>
      <c r="AD47" s="3"/>
      <c r="AE47" s="3" t="s">
        <v>311</v>
      </c>
      <c r="AF47" s="16"/>
      <c r="AG47" s="16" t="s">
        <v>193</v>
      </c>
      <c r="AH47" s="16"/>
      <c r="AI47" s="3">
        <v>1974</v>
      </c>
      <c r="AJ47" s="3"/>
      <c r="AK47" s="3">
        <v>96891</v>
      </c>
      <c r="AL47" s="3"/>
      <c r="AM47" s="3">
        <v>0</v>
      </c>
      <c r="AN47" s="3"/>
      <c r="AO47" s="3">
        <v>431717</v>
      </c>
      <c r="AP47" s="3"/>
      <c r="AQ47" s="3">
        <v>131</v>
      </c>
      <c r="AR47" s="3"/>
      <c r="AS47" s="3">
        <v>86356</v>
      </c>
      <c r="AT47" s="3"/>
      <c r="AU47" s="3">
        <v>591910</v>
      </c>
      <c r="AV47" s="3"/>
      <c r="AW47" s="3">
        <v>0</v>
      </c>
      <c r="AX47" s="3"/>
      <c r="AY47" s="3"/>
      <c r="AZ47" s="3"/>
      <c r="BA47" s="3">
        <v>0</v>
      </c>
      <c r="BB47" s="3"/>
      <c r="BC47" s="3">
        <f t="shared" si="3"/>
        <v>18578322</v>
      </c>
      <c r="BD47" s="3"/>
      <c r="BE47" s="3">
        <f>+'St of Act-Rev'!AG47-BC47</f>
        <v>-732506</v>
      </c>
      <c r="BF47" s="3"/>
      <c r="BG47" s="3">
        <v>41492429</v>
      </c>
      <c r="BH47" s="3"/>
      <c r="BI47" s="3">
        <f t="shared" si="6"/>
        <v>40759923</v>
      </c>
      <c r="BK47" s="3">
        <f>+'St of Net Assets'!AA47-BI47</f>
        <v>0</v>
      </c>
      <c r="BN47" s="32"/>
      <c r="BO47" s="3" t="str">
        <f t="shared" si="4"/>
        <v>Pioneer Career &amp; Tech Center</v>
      </c>
      <c r="BP47" s="3" t="str">
        <f t="shared" si="5"/>
        <v>Pioneer Career &amp; Tech Center</v>
      </c>
      <c r="BQ47" s="16" t="b">
        <f t="shared" si="7"/>
        <v>1</v>
      </c>
      <c r="BS47" s="3" t="str">
        <f t="shared" si="8"/>
        <v>Richland</v>
      </c>
      <c r="BT47" s="3" t="b">
        <f t="shared" si="9"/>
        <v>1</v>
      </c>
    </row>
    <row r="48" spans="1:72">
      <c r="A48" s="3" t="s">
        <v>258</v>
      </c>
      <c r="B48" s="16"/>
      <c r="C48" s="16" t="s">
        <v>160</v>
      </c>
      <c r="E48" s="16">
        <v>50948</v>
      </c>
      <c r="G48" s="3">
        <v>0</v>
      </c>
      <c r="H48" s="3"/>
      <c r="I48" s="3">
        <v>0</v>
      </c>
      <c r="J48" s="3"/>
      <c r="K48" s="3">
        <v>7527237</v>
      </c>
      <c r="L48" s="3"/>
      <c r="M48" s="32">
        <v>230138</v>
      </c>
      <c r="N48" s="3"/>
      <c r="O48" s="3">
        <v>0</v>
      </c>
      <c r="P48" s="3"/>
      <c r="Q48" s="3">
        <v>2182424</v>
      </c>
      <c r="R48" s="3"/>
      <c r="S48" s="3">
        <v>1641319</v>
      </c>
      <c r="T48" s="3"/>
      <c r="U48" s="3">
        <v>126622</v>
      </c>
      <c r="V48" s="3"/>
      <c r="W48" s="3">
        <v>946810</v>
      </c>
      <c r="X48" s="3"/>
      <c r="Y48" s="3">
        <v>745425</v>
      </c>
      <c r="Z48" s="3"/>
      <c r="AA48" s="3">
        <v>78597</v>
      </c>
      <c r="AB48" s="3"/>
      <c r="AC48" s="3">
        <v>1663313</v>
      </c>
      <c r="AD48" s="3"/>
      <c r="AE48" s="3" t="s">
        <v>258</v>
      </c>
      <c r="AF48" s="16"/>
      <c r="AG48" s="16" t="s">
        <v>160</v>
      </c>
      <c r="AH48" s="16"/>
      <c r="AI48" s="3">
        <v>18520</v>
      </c>
      <c r="AJ48" s="3"/>
      <c r="AK48" s="3">
        <v>1511024</v>
      </c>
      <c r="AL48" s="3"/>
      <c r="AM48" s="3">
        <v>0</v>
      </c>
      <c r="AN48" s="3"/>
      <c r="AO48" s="3">
        <v>0</v>
      </c>
      <c r="AP48" s="3"/>
      <c r="AQ48" s="3">
        <v>0</v>
      </c>
      <c r="AR48" s="3"/>
      <c r="AS48" s="3">
        <v>48084</v>
      </c>
      <c r="AT48" s="3"/>
      <c r="AU48" s="3">
        <v>0</v>
      </c>
      <c r="AV48" s="3"/>
      <c r="AW48" s="3">
        <v>21054</v>
      </c>
      <c r="AX48" s="3"/>
      <c r="AY48" s="3"/>
      <c r="AZ48" s="3"/>
      <c r="BA48" s="3">
        <v>0</v>
      </c>
      <c r="BB48" s="3"/>
      <c r="BC48" s="3">
        <f t="shared" si="3"/>
        <v>16740567</v>
      </c>
      <c r="BD48" s="3"/>
      <c r="BE48" s="3">
        <f>+'St of Act-Rev'!AG48-BC48</f>
        <v>-1552108</v>
      </c>
      <c r="BF48" s="3"/>
      <c r="BG48" s="3">
        <v>14824871</v>
      </c>
      <c r="BH48" s="3"/>
      <c r="BI48" s="3">
        <f t="shared" si="6"/>
        <v>13272763</v>
      </c>
      <c r="BK48" s="3">
        <f>+'St of Net Assets'!AA48-BI48</f>
        <v>0</v>
      </c>
      <c r="BN48" s="3"/>
      <c r="BO48" s="3" t="str">
        <f t="shared" si="4"/>
        <v>Polaris Career Center</v>
      </c>
      <c r="BP48" s="3" t="str">
        <f t="shared" si="5"/>
        <v>Polaris Career Center</v>
      </c>
      <c r="BQ48" s="16" t="b">
        <f t="shared" si="7"/>
        <v>1</v>
      </c>
      <c r="BS48" s="3" t="str">
        <f t="shared" si="8"/>
        <v>Cuyahoga</v>
      </c>
      <c r="BT48" s="3" t="b">
        <f t="shared" si="9"/>
        <v>1</v>
      </c>
    </row>
    <row r="49" spans="1:72">
      <c r="A49" s="3" t="s">
        <v>259</v>
      </c>
      <c r="B49" s="16"/>
      <c r="C49" s="16" t="s">
        <v>200</v>
      </c>
      <c r="E49" s="16">
        <v>63495</v>
      </c>
      <c r="G49" s="3">
        <v>408246</v>
      </c>
      <c r="H49" s="3"/>
      <c r="I49" s="3">
        <v>309871</v>
      </c>
      <c r="J49" s="3"/>
      <c r="K49" s="3">
        <v>3747557</v>
      </c>
      <c r="L49" s="3"/>
      <c r="M49" s="32">
        <v>1194058</v>
      </c>
      <c r="N49" s="3"/>
      <c r="O49" s="3">
        <v>2508</v>
      </c>
      <c r="P49" s="3"/>
      <c r="Q49" s="3">
        <v>235830</v>
      </c>
      <c r="R49" s="3"/>
      <c r="S49" s="3">
        <v>80267</v>
      </c>
      <c r="T49" s="3"/>
      <c r="U49" s="3">
        <v>22709</v>
      </c>
      <c r="V49" s="3"/>
      <c r="W49" s="3">
        <v>727227</v>
      </c>
      <c r="X49" s="3"/>
      <c r="Y49" s="3">
        <v>416329</v>
      </c>
      <c r="Z49" s="3"/>
      <c r="AA49" s="3">
        <v>0</v>
      </c>
      <c r="AB49" s="3"/>
      <c r="AC49" s="3">
        <v>410155</v>
      </c>
      <c r="AD49" s="3"/>
      <c r="AE49" s="3" t="s">
        <v>259</v>
      </c>
      <c r="AF49" s="16"/>
      <c r="AG49" s="16" t="s">
        <v>200</v>
      </c>
      <c r="AH49" s="16"/>
      <c r="AI49" s="3">
        <v>42646</v>
      </c>
      <c r="AJ49" s="3"/>
      <c r="AK49" s="3">
        <v>98513</v>
      </c>
      <c r="AL49" s="3"/>
      <c r="AM49" s="3">
        <v>0</v>
      </c>
      <c r="AN49" s="3"/>
      <c r="AO49" s="3">
        <v>0</v>
      </c>
      <c r="AP49" s="3"/>
      <c r="AQ49" s="3">
        <v>0</v>
      </c>
      <c r="AR49" s="3"/>
      <c r="AS49" s="3">
        <v>13533</v>
      </c>
      <c r="AT49" s="3"/>
      <c r="AU49" s="3">
        <v>0</v>
      </c>
      <c r="AV49" s="3"/>
      <c r="AW49" s="3">
        <v>0</v>
      </c>
      <c r="AX49" s="3"/>
      <c r="AY49" s="3"/>
      <c r="AZ49" s="3"/>
      <c r="BA49" s="3">
        <v>0</v>
      </c>
      <c r="BB49" s="3"/>
      <c r="BC49" s="3">
        <f t="shared" si="3"/>
        <v>7709449</v>
      </c>
      <c r="BD49" s="3"/>
      <c r="BE49" s="3">
        <f>+'St of Act-Rev'!AG49-BC49</f>
        <v>419079</v>
      </c>
      <c r="BF49" s="3"/>
      <c r="BG49" s="3">
        <v>15103766</v>
      </c>
      <c r="BH49" s="3"/>
      <c r="BI49" s="3">
        <f t="shared" si="6"/>
        <v>15522845</v>
      </c>
      <c r="BK49" s="3">
        <f>+'St of Net Assets'!AA49-BI49</f>
        <v>0</v>
      </c>
      <c r="BN49" s="3"/>
      <c r="BO49" s="3" t="str">
        <f t="shared" si="4"/>
        <v>Portage Lakes Career Center</v>
      </c>
      <c r="BP49" s="3" t="str">
        <f t="shared" si="5"/>
        <v>Portage Lakes Career Center</v>
      </c>
      <c r="BQ49" s="16" t="b">
        <f t="shared" si="7"/>
        <v>1</v>
      </c>
      <c r="BS49" s="3" t="str">
        <f t="shared" si="8"/>
        <v>Summit</v>
      </c>
      <c r="BT49" s="3" t="b">
        <f t="shared" si="9"/>
        <v>1</v>
      </c>
    </row>
    <row r="50" spans="1:72">
      <c r="A50" s="3" t="s">
        <v>260</v>
      </c>
      <c r="B50" s="16"/>
      <c r="C50" s="16" t="s">
        <v>196</v>
      </c>
      <c r="E50" s="16">
        <v>51490</v>
      </c>
      <c r="G50" s="3">
        <v>0</v>
      </c>
      <c r="H50" s="3"/>
      <c r="I50" s="3">
        <v>240729</v>
      </c>
      <c r="J50" s="3"/>
      <c r="K50" s="3">
        <v>6048121</v>
      </c>
      <c r="L50" s="3"/>
      <c r="M50" s="32">
        <v>0</v>
      </c>
      <c r="N50" s="3"/>
      <c r="O50" s="3">
        <v>0</v>
      </c>
      <c r="P50" s="3"/>
      <c r="Q50" s="3">
        <v>393769</v>
      </c>
      <c r="R50" s="3"/>
      <c r="S50" s="3">
        <v>469517</v>
      </c>
      <c r="T50" s="3"/>
      <c r="U50" s="3">
        <v>13770</v>
      </c>
      <c r="V50" s="3"/>
      <c r="W50" s="3">
        <v>1325009</v>
      </c>
      <c r="X50" s="3"/>
      <c r="Y50" s="3">
        <v>359895</v>
      </c>
      <c r="Z50" s="3"/>
      <c r="AA50" s="3">
        <v>0</v>
      </c>
      <c r="AB50" s="3"/>
      <c r="AC50" s="3">
        <v>1076809</v>
      </c>
      <c r="AD50" s="3"/>
      <c r="AE50" s="3" t="s">
        <v>260</v>
      </c>
      <c r="AF50" s="16"/>
      <c r="AG50" s="16" t="s">
        <v>196</v>
      </c>
      <c r="AH50" s="16"/>
      <c r="AI50" s="3">
        <v>22566</v>
      </c>
      <c r="AJ50" s="3"/>
      <c r="AK50" s="3">
        <v>165591</v>
      </c>
      <c r="AL50" s="3"/>
      <c r="AM50" s="3">
        <v>0</v>
      </c>
      <c r="AN50" s="3"/>
      <c r="AO50" s="3">
        <v>0</v>
      </c>
      <c r="AP50" s="3"/>
      <c r="AQ50" s="3">
        <v>280906</v>
      </c>
      <c r="AR50" s="3"/>
      <c r="AS50" s="3">
        <v>35991</v>
      </c>
      <c r="AT50" s="3"/>
      <c r="AU50" s="3">
        <v>0</v>
      </c>
      <c r="AV50" s="3"/>
      <c r="AW50" s="3">
        <v>0</v>
      </c>
      <c r="AX50" s="3"/>
      <c r="AY50" s="3">
        <v>0</v>
      </c>
      <c r="AZ50" s="3"/>
      <c r="BA50" s="3">
        <v>0</v>
      </c>
      <c r="BB50" s="3"/>
      <c r="BC50" s="3">
        <f t="shared" si="3"/>
        <v>10432673</v>
      </c>
      <c r="BD50" s="3"/>
      <c r="BE50" s="3">
        <f>+'St of Act-Rev'!AG50-BC50</f>
        <v>-109880</v>
      </c>
      <c r="BF50" s="3"/>
      <c r="BG50" s="3">
        <v>25107351</v>
      </c>
      <c r="BH50" s="3"/>
      <c r="BI50" s="3">
        <f t="shared" si="6"/>
        <v>24997471</v>
      </c>
      <c r="BK50" s="3">
        <f>+'St of Net Assets'!AA50-BI50</f>
        <v>0</v>
      </c>
      <c r="BN50" s="3"/>
      <c r="BO50" s="3" t="str">
        <f t="shared" si="4"/>
        <v>Scioto County JVSD</v>
      </c>
      <c r="BP50" s="3" t="str">
        <f t="shared" si="5"/>
        <v>Scioto County JVSD</v>
      </c>
      <c r="BQ50" s="16" t="b">
        <f t="shared" si="7"/>
        <v>1</v>
      </c>
      <c r="BS50" s="3" t="str">
        <f t="shared" si="8"/>
        <v>Scioto</v>
      </c>
      <c r="BT50" s="3" t="b">
        <f t="shared" si="9"/>
        <v>1</v>
      </c>
    </row>
    <row r="51" spans="1:72">
      <c r="A51" s="3" t="s">
        <v>211</v>
      </c>
      <c r="B51" s="16"/>
      <c r="C51" s="16" t="s">
        <v>153</v>
      </c>
      <c r="E51" s="16">
        <v>50799</v>
      </c>
      <c r="G51" s="3">
        <v>57291</v>
      </c>
      <c r="H51" s="3"/>
      <c r="I51" s="3">
        <v>6026</v>
      </c>
      <c r="J51" s="3"/>
      <c r="K51" s="3">
        <v>3996183</v>
      </c>
      <c r="L51" s="3"/>
      <c r="M51" s="32">
        <v>131893</v>
      </c>
      <c r="N51" s="3"/>
      <c r="O51" s="3">
        <v>0</v>
      </c>
      <c r="P51" s="3"/>
      <c r="Q51" s="3">
        <v>479865</v>
      </c>
      <c r="R51" s="3"/>
      <c r="S51" s="3">
        <v>137404</v>
      </c>
      <c r="T51" s="3"/>
      <c r="U51" s="3">
        <v>43055</v>
      </c>
      <c r="V51" s="3"/>
      <c r="W51" s="3">
        <v>641907</v>
      </c>
      <c r="X51" s="3"/>
      <c r="Y51" s="3">
        <v>378024</v>
      </c>
      <c r="Z51" s="3"/>
      <c r="AA51" s="3">
        <v>5259</v>
      </c>
      <c r="AB51" s="3"/>
      <c r="AC51" s="3">
        <v>366483</v>
      </c>
      <c r="AD51" s="3"/>
      <c r="AE51" s="3" t="s">
        <v>211</v>
      </c>
      <c r="AF51" s="16"/>
      <c r="AG51" s="16" t="s">
        <v>153</v>
      </c>
      <c r="AH51" s="16"/>
      <c r="AI51" s="3">
        <v>30566</v>
      </c>
      <c r="AJ51" s="3"/>
      <c r="AK51" s="3">
        <v>62842</v>
      </c>
      <c r="AL51" s="3"/>
      <c r="AM51" s="3">
        <v>0</v>
      </c>
      <c r="AN51" s="3"/>
      <c r="AO51" s="3">
        <v>257863</v>
      </c>
      <c r="AP51" s="3"/>
      <c r="AQ51" s="3">
        <v>0</v>
      </c>
      <c r="AR51" s="3"/>
      <c r="AS51" s="3">
        <v>9560</v>
      </c>
      <c r="AT51" s="3"/>
      <c r="AU51" s="3">
        <v>25995</v>
      </c>
      <c r="AV51" s="3"/>
      <c r="AW51" s="3">
        <v>0</v>
      </c>
      <c r="AX51" s="3"/>
      <c r="AY51" s="3"/>
      <c r="AZ51" s="3"/>
      <c r="BA51" s="3">
        <v>0</v>
      </c>
      <c r="BB51" s="3"/>
      <c r="BC51" s="3">
        <f t="shared" si="3"/>
        <v>6630216</v>
      </c>
      <c r="BD51" s="3"/>
      <c r="BE51" s="3">
        <f>+'St of Act-Rev'!AG51-BC51</f>
        <v>319160</v>
      </c>
      <c r="BF51" s="3"/>
      <c r="BG51" s="3">
        <v>17813897</v>
      </c>
      <c r="BH51" s="3"/>
      <c r="BI51" s="3">
        <f t="shared" si="6"/>
        <v>18133057</v>
      </c>
      <c r="BK51" s="3">
        <f>+'St of Net Assets'!AA51-BI51</f>
        <v>0</v>
      </c>
      <c r="BN51" s="3"/>
      <c r="BO51" s="3" t="str">
        <f t="shared" si="4"/>
        <v>Southern Hills JVSD</v>
      </c>
      <c r="BP51" s="3" t="str">
        <f t="shared" si="5"/>
        <v>Southern Hills JVSD</v>
      </c>
      <c r="BQ51" s="16" t="b">
        <f t="shared" si="7"/>
        <v>1</v>
      </c>
      <c r="BS51" s="3" t="str">
        <f t="shared" si="8"/>
        <v>Brown</v>
      </c>
      <c r="BT51" s="3" t="b">
        <f t="shared" si="9"/>
        <v>1</v>
      </c>
    </row>
    <row r="52" spans="1:72">
      <c r="A52" s="3" t="s">
        <v>286</v>
      </c>
      <c r="B52" s="16"/>
      <c r="C52" s="16" t="s">
        <v>155</v>
      </c>
      <c r="E52" s="16">
        <v>51532</v>
      </c>
      <c r="G52" s="3">
        <v>0</v>
      </c>
      <c r="H52" s="3"/>
      <c r="I52" s="3">
        <v>604362</v>
      </c>
      <c r="J52" s="3"/>
      <c r="K52" s="3">
        <v>5785066</v>
      </c>
      <c r="L52" s="3"/>
      <c r="M52" s="32">
        <v>22</v>
      </c>
      <c r="N52" s="3"/>
      <c r="O52" s="3">
        <v>0</v>
      </c>
      <c r="P52" s="3"/>
      <c r="Q52" s="3">
        <v>1084663</v>
      </c>
      <c r="R52" s="3"/>
      <c r="S52" s="3">
        <v>485173</v>
      </c>
      <c r="T52" s="3"/>
      <c r="U52" s="3">
        <v>76071</v>
      </c>
      <c r="V52" s="3"/>
      <c r="W52" s="3">
        <v>805109</v>
      </c>
      <c r="X52" s="3"/>
      <c r="Y52" s="3">
        <v>555688</v>
      </c>
      <c r="Z52" s="3"/>
      <c r="AA52" s="3">
        <v>134672</v>
      </c>
      <c r="AB52" s="3"/>
      <c r="AC52" s="3">
        <v>1499046</v>
      </c>
      <c r="AD52" s="3"/>
      <c r="AE52" s="3" t="s">
        <v>286</v>
      </c>
      <c r="AF52" s="16"/>
      <c r="AG52" s="16" t="s">
        <v>155</v>
      </c>
      <c r="AH52" s="16"/>
      <c r="AI52" s="3">
        <v>61701</v>
      </c>
      <c r="AJ52" s="3"/>
      <c r="AK52" s="3">
        <v>74497</v>
      </c>
      <c r="AL52" s="3"/>
      <c r="AM52" s="3">
        <v>0</v>
      </c>
      <c r="AN52" s="3"/>
      <c r="AO52" s="3">
        <v>258314</v>
      </c>
      <c r="AP52" s="3"/>
      <c r="AQ52" s="3">
        <v>0</v>
      </c>
      <c r="AR52" s="3"/>
      <c r="AS52" s="3">
        <v>29301</v>
      </c>
      <c r="AT52" s="3"/>
      <c r="AU52" s="3">
        <v>171756</v>
      </c>
      <c r="AV52" s="3"/>
      <c r="AW52" s="3">
        <v>0</v>
      </c>
      <c r="AX52" s="3"/>
      <c r="AY52" s="3">
        <v>0</v>
      </c>
      <c r="AZ52" s="3"/>
      <c r="BA52" s="3">
        <v>0</v>
      </c>
      <c r="BB52" s="3"/>
      <c r="BC52" s="3">
        <f t="shared" si="3"/>
        <v>11625441</v>
      </c>
      <c r="BD52" s="3"/>
      <c r="BE52" s="3">
        <f>+'St of Act-Rev'!AG52-BC52</f>
        <v>1045936</v>
      </c>
      <c r="BF52" s="3"/>
      <c r="BG52" s="3">
        <v>8785614</v>
      </c>
      <c r="BH52" s="3"/>
      <c r="BI52" s="3">
        <f t="shared" si="6"/>
        <v>9831550</v>
      </c>
      <c r="BK52" s="3">
        <f>+'St of Net Assets'!AA52-BI52</f>
        <v>0</v>
      </c>
      <c r="BN52" s="32"/>
      <c r="BO52" s="3" t="str">
        <f t="shared" si="4"/>
        <v>Springfield-Clark Co Career Tech Center</v>
      </c>
      <c r="BP52" s="3" t="str">
        <f t="shared" si="5"/>
        <v>Springfield-Clark Co Career Tech Center</v>
      </c>
      <c r="BQ52" s="16" t="b">
        <f t="shared" si="7"/>
        <v>1</v>
      </c>
      <c r="BS52" s="3" t="str">
        <f t="shared" si="8"/>
        <v>Clark</v>
      </c>
      <c r="BT52" s="3" t="b">
        <f t="shared" si="9"/>
        <v>1</v>
      </c>
    </row>
    <row r="53" spans="1:72">
      <c r="A53" s="3" t="s">
        <v>226</v>
      </c>
      <c r="B53" s="16"/>
      <c r="C53" s="16" t="s">
        <v>199</v>
      </c>
      <c r="E53" s="16">
        <v>62026</v>
      </c>
      <c r="G53" s="3">
        <v>861410</v>
      </c>
      <c r="H53" s="3"/>
      <c r="I53" s="3">
        <v>195308</v>
      </c>
      <c r="J53" s="3"/>
      <c r="K53" s="3">
        <v>3853097</v>
      </c>
      <c r="L53" s="3"/>
      <c r="M53" s="32">
        <v>0</v>
      </c>
      <c r="N53" s="3"/>
      <c r="O53" s="3">
        <v>780</v>
      </c>
      <c r="P53" s="3"/>
      <c r="Q53" s="3">
        <v>974534</v>
      </c>
      <c r="R53" s="3"/>
      <c r="S53" s="3">
        <v>492665</v>
      </c>
      <c r="T53" s="3"/>
      <c r="U53" s="3">
        <v>12856</v>
      </c>
      <c r="V53" s="3"/>
      <c r="W53" s="3">
        <v>298276</v>
      </c>
      <c r="X53" s="3"/>
      <c r="Y53" s="3">
        <v>263939</v>
      </c>
      <c r="Z53" s="3"/>
      <c r="AA53" s="3">
        <v>32037</v>
      </c>
      <c r="AB53" s="3"/>
      <c r="AC53" s="3">
        <v>796135</v>
      </c>
      <c r="AD53" s="3"/>
      <c r="AE53" s="3" t="s">
        <v>226</v>
      </c>
      <c r="AF53" s="16"/>
      <c r="AG53" s="16" t="s">
        <v>199</v>
      </c>
      <c r="AH53" s="16"/>
      <c r="AI53" s="3">
        <v>0</v>
      </c>
      <c r="AJ53" s="3"/>
      <c r="AK53" s="3">
        <v>112116</v>
      </c>
      <c r="AL53" s="3"/>
      <c r="AM53" s="3">
        <v>0</v>
      </c>
      <c r="AN53" s="3"/>
      <c r="AO53" s="3">
        <v>274319</v>
      </c>
      <c r="AP53" s="3"/>
      <c r="AQ53" s="3">
        <v>365</v>
      </c>
      <c r="AR53" s="3"/>
      <c r="AS53" s="3">
        <v>61718</v>
      </c>
      <c r="AT53" s="3"/>
      <c r="AU53" s="3">
        <v>0</v>
      </c>
      <c r="AV53" s="3"/>
      <c r="AW53" s="3">
        <v>0</v>
      </c>
      <c r="AX53" s="3"/>
      <c r="AY53" s="3"/>
      <c r="AZ53" s="3"/>
      <c r="BA53" s="3">
        <v>0</v>
      </c>
      <c r="BB53" s="3"/>
      <c r="BC53" s="3">
        <f t="shared" si="3"/>
        <v>8229555</v>
      </c>
      <c r="BD53" s="3"/>
      <c r="BE53" s="3">
        <f>+'St of Act-Rev'!AG53-BC53</f>
        <v>194120</v>
      </c>
      <c r="BF53" s="3"/>
      <c r="BG53" s="3">
        <v>14850021</v>
      </c>
      <c r="BH53" s="3"/>
      <c r="BI53" s="3">
        <f t="shared" si="6"/>
        <v>15044141</v>
      </c>
      <c r="BK53" s="3">
        <f>+'St of Net Assets'!AA53-BI53</f>
        <v>0</v>
      </c>
      <c r="BN53" s="3"/>
      <c r="BO53" s="3" t="str">
        <f t="shared" si="4"/>
        <v>Stark County Area JVSD</v>
      </c>
      <c r="BP53" s="3" t="str">
        <f t="shared" si="5"/>
        <v>Stark County Area JVSD</v>
      </c>
      <c r="BQ53" s="16" t="b">
        <f t="shared" si="7"/>
        <v>1</v>
      </c>
      <c r="BS53" s="3" t="str">
        <f t="shared" si="8"/>
        <v>Stark</v>
      </c>
      <c r="BT53" s="3" t="b">
        <f t="shared" si="9"/>
        <v>1</v>
      </c>
    </row>
    <row r="54" spans="1:72">
      <c r="A54" s="3" t="s">
        <v>290</v>
      </c>
      <c r="B54" s="16"/>
      <c r="C54" s="16" t="s">
        <v>220</v>
      </c>
      <c r="E54" s="16"/>
      <c r="G54" s="3">
        <v>1756509</v>
      </c>
      <c r="H54" s="3"/>
      <c r="I54" s="3">
        <v>1110422</v>
      </c>
      <c r="J54" s="3"/>
      <c r="K54" s="3">
        <v>4213160</v>
      </c>
      <c r="L54" s="3"/>
      <c r="M54" s="32">
        <v>368995</v>
      </c>
      <c r="N54" s="3"/>
      <c r="O54" s="3">
        <v>166082</v>
      </c>
      <c r="P54" s="3"/>
      <c r="Q54" s="3">
        <v>840235</v>
      </c>
      <c r="R54" s="3"/>
      <c r="S54" s="3">
        <v>1123998</v>
      </c>
      <c r="T54" s="3"/>
      <c r="U54" s="3">
        <v>85529</v>
      </c>
      <c r="V54" s="3"/>
      <c r="W54" s="3">
        <v>900375</v>
      </c>
      <c r="X54" s="3"/>
      <c r="Y54" s="3">
        <v>402909</v>
      </c>
      <c r="Z54" s="3"/>
      <c r="AA54" s="3">
        <v>0</v>
      </c>
      <c r="AB54" s="3"/>
      <c r="AC54" s="3">
        <v>1463515</v>
      </c>
      <c r="AD54" s="3"/>
      <c r="AE54" s="3" t="s">
        <v>290</v>
      </c>
      <c r="AF54" s="16"/>
      <c r="AG54" s="16" t="s">
        <v>220</v>
      </c>
      <c r="AH54" s="16"/>
      <c r="AI54" s="3">
        <v>17080</v>
      </c>
      <c r="AJ54" s="3"/>
      <c r="AK54" s="3">
        <v>27245</v>
      </c>
      <c r="AL54" s="3"/>
      <c r="AM54" s="3">
        <v>0</v>
      </c>
      <c r="AN54" s="3"/>
      <c r="AO54" s="3">
        <v>0</v>
      </c>
      <c r="AP54" s="3"/>
      <c r="AQ54" s="3">
        <v>351484</v>
      </c>
      <c r="AR54" s="3"/>
      <c r="AS54" s="3">
        <v>37246</v>
      </c>
      <c r="AT54" s="3"/>
      <c r="AU54" s="3">
        <v>206019</v>
      </c>
      <c r="AV54" s="3"/>
      <c r="AW54" s="3">
        <v>0</v>
      </c>
      <c r="AX54" s="3"/>
      <c r="AY54" s="3"/>
      <c r="AZ54" s="3"/>
      <c r="BA54" s="3">
        <v>0</v>
      </c>
      <c r="BB54" s="3"/>
      <c r="BC54" s="3">
        <f t="shared" si="3"/>
        <v>13070803</v>
      </c>
      <c r="BD54" s="3"/>
      <c r="BE54" s="3">
        <f>+'St of Act-Rev'!AG54-BC54</f>
        <v>-241912</v>
      </c>
      <c r="BF54" s="3"/>
      <c r="BG54" s="3">
        <v>19923003</v>
      </c>
      <c r="BH54" s="3"/>
      <c r="BI54" s="3">
        <f t="shared" si="6"/>
        <v>19681091</v>
      </c>
      <c r="BK54" s="3">
        <f>+'St of Net Assets'!AA54-BI54</f>
        <v>0</v>
      </c>
      <c r="BN54" s="3"/>
      <c r="BO54" s="3" t="str">
        <f t="shared" si="4"/>
        <v>Tolles Career and Technical Center</v>
      </c>
      <c r="BP54" s="3" t="str">
        <f t="shared" si="5"/>
        <v>Tolles Career and Technical Center</v>
      </c>
      <c r="BQ54" s="16" t="b">
        <f t="shared" si="7"/>
        <v>1</v>
      </c>
      <c r="BS54" s="3" t="str">
        <f t="shared" si="8"/>
        <v>Madison</v>
      </c>
      <c r="BT54" s="3" t="b">
        <f t="shared" si="9"/>
        <v>1</v>
      </c>
    </row>
    <row r="55" spans="1:72">
      <c r="A55" s="3" t="s">
        <v>312</v>
      </c>
      <c r="B55" s="16"/>
      <c r="C55" s="16" t="s">
        <v>148</v>
      </c>
      <c r="E55" s="16">
        <v>51607</v>
      </c>
      <c r="G55" s="3">
        <v>386417</v>
      </c>
      <c r="H55" s="3"/>
      <c r="I55" s="3">
        <v>122</v>
      </c>
      <c r="J55" s="3"/>
      <c r="K55" s="3">
        <v>3594759</v>
      </c>
      <c r="L55" s="3"/>
      <c r="M55" s="32">
        <v>292242</v>
      </c>
      <c r="N55" s="3"/>
      <c r="O55" s="3">
        <v>0</v>
      </c>
      <c r="P55" s="3"/>
      <c r="Q55" s="3">
        <v>443544</v>
      </c>
      <c r="R55" s="3"/>
      <c r="S55" s="3">
        <v>112257</v>
      </c>
      <c r="T55" s="3"/>
      <c r="U55" s="3">
        <v>176083</v>
      </c>
      <c r="V55" s="3"/>
      <c r="W55" s="3">
        <v>1006458</v>
      </c>
      <c r="X55" s="3"/>
      <c r="Y55" s="3">
        <v>491386</v>
      </c>
      <c r="Z55" s="3"/>
      <c r="AA55" s="3">
        <v>86320</v>
      </c>
      <c r="AB55" s="3"/>
      <c r="AC55" s="3">
        <v>995680</v>
      </c>
      <c r="AD55" s="3"/>
      <c r="AE55" s="3" t="s">
        <v>312</v>
      </c>
      <c r="AF55" s="16"/>
      <c r="AG55" s="16" t="s">
        <v>148</v>
      </c>
      <c r="AH55" s="16"/>
      <c r="AI55" s="3">
        <v>1433</v>
      </c>
      <c r="AJ55" s="3"/>
      <c r="AK55" s="3">
        <v>158855</v>
      </c>
      <c r="AL55" s="3"/>
      <c r="AM55" s="3">
        <v>0</v>
      </c>
      <c r="AN55" s="3"/>
      <c r="AO55" s="3">
        <v>199803</v>
      </c>
      <c r="AP55" s="3"/>
      <c r="AQ55" s="3">
        <v>388</v>
      </c>
      <c r="AR55" s="3"/>
      <c r="AS55" s="3">
        <v>3435</v>
      </c>
      <c r="AT55" s="3"/>
      <c r="AU55" s="3">
        <v>0</v>
      </c>
      <c r="AV55" s="3"/>
      <c r="AW55" s="3">
        <v>0</v>
      </c>
      <c r="AX55" s="3"/>
      <c r="AY55" s="3"/>
      <c r="AZ55" s="3"/>
      <c r="BA55" s="3">
        <v>0</v>
      </c>
      <c r="BB55" s="3"/>
      <c r="BC55" s="3">
        <f t="shared" si="3"/>
        <v>7949182</v>
      </c>
      <c r="BD55" s="3"/>
      <c r="BE55" s="3">
        <f>+'St of Act-Rev'!AG55-BC55</f>
        <v>1057823</v>
      </c>
      <c r="BF55" s="3"/>
      <c r="BG55" s="3">
        <v>3658643</v>
      </c>
      <c r="BH55" s="3"/>
      <c r="BI55" s="3">
        <f t="shared" si="6"/>
        <v>4716466</v>
      </c>
      <c r="BK55" s="3">
        <f>+'St of Net Assets'!AA55-BI55</f>
        <v>0</v>
      </c>
      <c r="BN55" s="3"/>
      <c r="BO55" s="3" t="str">
        <f t="shared" si="4"/>
        <v>Tri County Career Center</v>
      </c>
      <c r="BP55" s="3" t="str">
        <f t="shared" si="5"/>
        <v>Tri County Career Center</v>
      </c>
      <c r="BQ55" s="16" t="b">
        <f t="shared" si="7"/>
        <v>1</v>
      </c>
      <c r="BS55" s="3" t="str">
        <f t="shared" si="8"/>
        <v>Athens</v>
      </c>
      <c r="BT55" s="3" t="b">
        <f t="shared" si="9"/>
        <v>1</v>
      </c>
    </row>
    <row r="56" spans="1:72">
      <c r="A56" s="3" t="s">
        <v>221</v>
      </c>
      <c r="B56" s="16"/>
      <c r="C56" s="16" t="s">
        <v>222</v>
      </c>
      <c r="E56" s="16">
        <v>65268</v>
      </c>
      <c r="G56" s="3">
        <v>295077</v>
      </c>
      <c r="H56" s="3"/>
      <c r="I56" s="3">
        <v>0</v>
      </c>
      <c r="J56" s="3"/>
      <c r="K56" s="3">
        <v>5804959</v>
      </c>
      <c r="L56" s="3"/>
      <c r="M56" s="32">
        <v>65339</v>
      </c>
      <c r="N56" s="3"/>
      <c r="O56" s="3">
        <v>0</v>
      </c>
      <c r="P56" s="3"/>
      <c r="Q56" s="3">
        <v>709526</v>
      </c>
      <c r="R56" s="3"/>
      <c r="S56" s="3">
        <v>483318</v>
      </c>
      <c r="T56" s="3"/>
      <c r="U56" s="3">
        <v>91285</v>
      </c>
      <c r="V56" s="3"/>
      <c r="W56" s="3">
        <v>836512</v>
      </c>
      <c r="X56" s="3"/>
      <c r="Y56" s="3">
        <v>380820</v>
      </c>
      <c r="Z56" s="3"/>
      <c r="AA56" s="3">
        <v>217298</v>
      </c>
      <c r="AB56" s="3"/>
      <c r="AC56" s="3">
        <v>920233</v>
      </c>
      <c r="AD56" s="3"/>
      <c r="AE56" s="3" t="s">
        <v>221</v>
      </c>
      <c r="AF56" s="16"/>
      <c r="AG56" s="16" t="s">
        <v>222</v>
      </c>
      <c r="AH56" s="16"/>
      <c r="AI56" s="3">
        <v>15319</v>
      </c>
      <c r="AJ56" s="3"/>
      <c r="AK56" s="3">
        <v>680927</v>
      </c>
      <c r="AL56" s="3"/>
      <c r="AM56" s="3">
        <v>0</v>
      </c>
      <c r="AN56" s="3"/>
      <c r="AO56" s="3">
        <v>0</v>
      </c>
      <c r="AP56" s="3"/>
      <c r="AQ56" s="3">
        <v>766</v>
      </c>
      <c r="AR56" s="3"/>
      <c r="AS56" s="3">
        <v>26007</v>
      </c>
      <c r="AT56" s="3"/>
      <c r="AU56" s="3">
        <v>3710</v>
      </c>
      <c r="AV56" s="3"/>
      <c r="AW56" s="3">
        <v>156182</v>
      </c>
      <c r="AX56" s="3"/>
      <c r="AY56" s="3"/>
      <c r="AZ56" s="3"/>
      <c r="BA56" s="3">
        <v>0</v>
      </c>
      <c r="BB56" s="3"/>
      <c r="BC56" s="3">
        <f t="shared" si="3"/>
        <v>10687278</v>
      </c>
      <c r="BD56" s="3"/>
      <c r="BE56" s="3">
        <f>+'St of Act-Rev'!AG56-BC56</f>
        <v>795603</v>
      </c>
      <c r="BF56" s="3"/>
      <c r="BG56" s="3">
        <v>9145008</v>
      </c>
      <c r="BH56" s="3"/>
      <c r="BI56" s="3">
        <f t="shared" si="6"/>
        <v>9940611</v>
      </c>
      <c r="BK56" s="3">
        <f>+'St of Net Assets'!AA56-BI56</f>
        <v>0</v>
      </c>
      <c r="BN56" s="3"/>
      <c r="BO56" s="3" t="str">
        <f t="shared" si="4"/>
        <v>Tri-Rivers JVSD</v>
      </c>
      <c r="BP56" s="3" t="str">
        <f t="shared" si="5"/>
        <v>Tri-Rivers JVSD</v>
      </c>
      <c r="BQ56" s="16" t="b">
        <f t="shared" si="7"/>
        <v>1</v>
      </c>
      <c r="BS56" s="3" t="str">
        <f t="shared" si="8"/>
        <v>Marion</v>
      </c>
      <c r="BT56" s="3" t="b">
        <f t="shared" si="9"/>
        <v>1</v>
      </c>
    </row>
    <row r="57" spans="1:72">
      <c r="A57" s="3" t="s">
        <v>313</v>
      </c>
      <c r="B57" s="16"/>
      <c r="C57" s="16" t="s">
        <v>201</v>
      </c>
      <c r="E57" s="16">
        <v>51631</v>
      </c>
      <c r="G57" s="3">
        <v>1929172</v>
      </c>
      <c r="H57" s="3"/>
      <c r="I57" s="3">
        <v>594231</v>
      </c>
      <c r="J57" s="3"/>
      <c r="K57" s="3">
        <v>5462423</v>
      </c>
      <c r="L57" s="3"/>
      <c r="M57" s="32">
        <v>369347</v>
      </c>
      <c r="N57" s="3"/>
      <c r="O57" s="3">
        <v>0</v>
      </c>
      <c r="P57" s="3"/>
      <c r="Q57" s="3">
        <v>1397464</v>
      </c>
      <c r="R57" s="3"/>
      <c r="S57" s="3">
        <v>432058</v>
      </c>
      <c r="T57" s="3"/>
      <c r="U57" s="3">
        <v>70927</v>
      </c>
      <c r="V57" s="3"/>
      <c r="W57" s="3">
        <v>1883263</v>
      </c>
      <c r="X57" s="3"/>
      <c r="Y57" s="3">
        <v>532785</v>
      </c>
      <c r="Z57" s="3"/>
      <c r="AA57" s="3">
        <v>40901</v>
      </c>
      <c r="AB57" s="3"/>
      <c r="AC57" s="3">
        <v>1104255</v>
      </c>
      <c r="AD57" s="3"/>
      <c r="AE57" s="3" t="s">
        <v>313</v>
      </c>
      <c r="AF57" s="16"/>
      <c r="AG57" s="16" t="s">
        <v>201</v>
      </c>
      <c r="AH57" s="16"/>
      <c r="AI57" s="3">
        <v>119046</v>
      </c>
      <c r="AJ57" s="3"/>
      <c r="AK57" s="3">
        <v>135573</v>
      </c>
      <c r="AL57" s="3"/>
      <c r="AM57" s="3">
        <v>0</v>
      </c>
      <c r="AN57" s="3"/>
      <c r="AO57" s="3">
        <v>403702</v>
      </c>
      <c r="AP57" s="3"/>
      <c r="AQ57" s="3">
        <v>8748</v>
      </c>
      <c r="AR57" s="3"/>
      <c r="AS57" s="3">
        <v>107725</v>
      </c>
      <c r="AT57" s="3"/>
      <c r="AU57" s="3">
        <v>269106</v>
      </c>
      <c r="AV57" s="3"/>
      <c r="AW57" s="3">
        <v>0</v>
      </c>
      <c r="AX57" s="3"/>
      <c r="AY57" s="3"/>
      <c r="AZ57" s="3"/>
      <c r="BA57" s="3">
        <v>0</v>
      </c>
      <c r="BB57" s="3"/>
      <c r="BC57" s="3">
        <f t="shared" si="3"/>
        <v>14860726</v>
      </c>
      <c r="BD57" s="3"/>
      <c r="BE57" s="3">
        <f>+'St of Act-Rev'!AG57-BC57</f>
        <v>-140108</v>
      </c>
      <c r="BF57" s="3"/>
      <c r="BG57" s="3">
        <v>13234125</v>
      </c>
      <c r="BH57" s="3"/>
      <c r="BI57" s="3">
        <f t="shared" si="6"/>
        <v>13094017</v>
      </c>
      <c r="BK57" s="3">
        <f>+'St of Net Assets'!AA57-BI57</f>
        <v>0</v>
      </c>
      <c r="BN57" s="3"/>
      <c r="BO57" s="3" t="str">
        <f t="shared" si="4"/>
        <v>Trumbull Career &amp; Tech Center</v>
      </c>
      <c r="BP57" s="3" t="str">
        <f t="shared" si="5"/>
        <v>Trumbull Career &amp; Tech Center</v>
      </c>
      <c r="BQ57" s="16" t="b">
        <f t="shared" si="7"/>
        <v>1</v>
      </c>
      <c r="BS57" s="3" t="str">
        <f t="shared" si="8"/>
        <v>Trumbull</v>
      </c>
      <c r="BT57" s="3" t="b">
        <f t="shared" si="9"/>
        <v>1</v>
      </c>
    </row>
    <row r="58" spans="1:72">
      <c r="A58" s="3" t="s">
        <v>212</v>
      </c>
      <c r="B58" s="16"/>
      <c r="C58" s="16" t="s">
        <v>157</v>
      </c>
      <c r="E58" s="16">
        <v>62802</v>
      </c>
      <c r="G58" s="3">
        <v>240658</v>
      </c>
      <c r="H58" s="3"/>
      <c r="I58" s="3">
        <v>136761</v>
      </c>
      <c r="J58" s="3"/>
      <c r="K58" s="3">
        <v>3656239</v>
      </c>
      <c r="L58" s="3"/>
      <c r="M58" s="32">
        <v>278395</v>
      </c>
      <c r="N58" s="3"/>
      <c r="O58" s="3">
        <v>0</v>
      </c>
      <c r="P58" s="3"/>
      <c r="Q58" s="3">
        <v>543308</v>
      </c>
      <c r="R58" s="3"/>
      <c r="S58" s="3">
        <v>169532</v>
      </c>
      <c r="T58" s="3"/>
      <c r="U58" s="3">
        <v>61258</v>
      </c>
      <c r="V58" s="3"/>
      <c r="W58" s="3">
        <v>411519</v>
      </c>
      <c r="X58" s="3"/>
      <c r="Y58" s="3">
        <v>462986</v>
      </c>
      <c r="Z58" s="3"/>
      <c r="AA58" s="3">
        <v>2546</v>
      </c>
      <c r="AB58" s="3"/>
      <c r="AC58" s="3">
        <v>677131</v>
      </c>
      <c r="AD58" s="3"/>
      <c r="AE58" s="3" t="s">
        <v>212</v>
      </c>
      <c r="AF58" s="16"/>
      <c r="AG58" s="16" t="s">
        <v>157</v>
      </c>
      <c r="AH58" s="16"/>
      <c r="AI58" s="3">
        <v>0</v>
      </c>
      <c r="AJ58" s="3"/>
      <c r="AK58" s="3">
        <v>104008</v>
      </c>
      <c r="AL58" s="3"/>
      <c r="AM58" s="3">
        <v>0</v>
      </c>
      <c r="AN58" s="3"/>
      <c r="AO58" s="3">
        <v>0</v>
      </c>
      <c r="AP58" s="3"/>
      <c r="AQ58" s="3">
        <v>187156</v>
      </c>
      <c r="AR58" s="3"/>
      <c r="AS58" s="3">
        <v>42697</v>
      </c>
      <c r="AT58" s="3"/>
      <c r="AU58" s="3">
        <v>0</v>
      </c>
      <c r="AV58" s="3"/>
      <c r="AW58" s="3">
        <v>0</v>
      </c>
      <c r="AX58" s="3"/>
      <c r="AY58" s="3"/>
      <c r="AZ58" s="3"/>
      <c r="BA58" s="3">
        <v>0</v>
      </c>
      <c r="BB58" s="3"/>
      <c r="BC58" s="3">
        <f t="shared" si="3"/>
        <v>6974194</v>
      </c>
      <c r="BD58" s="3"/>
      <c r="BE58" s="3">
        <f>+'St of Act-Rev'!AG58-BC58</f>
        <v>1520645</v>
      </c>
      <c r="BF58" s="3"/>
      <c r="BG58" s="3">
        <v>10394678</v>
      </c>
      <c r="BH58" s="3"/>
      <c r="BI58" s="3">
        <f t="shared" si="6"/>
        <v>11915323</v>
      </c>
      <c r="BK58" s="3">
        <f>+'St of Net Assets'!AA58-BI58</f>
        <v>0</v>
      </c>
      <c r="BN58" s="3"/>
      <c r="BO58" s="3" t="str">
        <f t="shared" si="4"/>
        <v>U S Grant JVSD</v>
      </c>
      <c r="BP58" s="3" t="str">
        <f t="shared" si="5"/>
        <v>U S Grant JVSD</v>
      </c>
      <c r="BQ58" s="16" t="b">
        <f t="shared" si="7"/>
        <v>1</v>
      </c>
      <c r="BS58" s="3" t="str">
        <f t="shared" si="8"/>
        <v>Clermont</v>
      </c>
      <c r="BT58" s="3" t="b">
        <f t="shared" si="9"/>
        <v>1</v>
      </c>
    </row>
    <row r="59" spans="1:72">
      <c r="A59" s="3" t="s">
        <v>224</v>
      </c>
      <c r="B59" s="16"/>
      <c r="C59" s="16" t="s">
        <v>183</v>
      </c>
      <c r="E59" s="16">
        <v>62125</v>
      </c>
      <c r="G59" s="3">
        <v>2118890</v>
      </c>
      <c r="H59" s="3"/>
      <c r="I59" s="3">
        <v>1068513</v>
      </c>
      <c r="J59" s="3"/>
      <c r="K59" s="3">
        <v>9185045</v>
      </c>
      <c r="L59" s="3"/>
      <c r="M59" s="32">
        <v>1657376</v>
      </c>
      <c r="N59" s="3"/>
      <c r="O59" s="3">
        <v>32988</v>
      </c>
      <c r="P59" s="3"/>
      <c r="Q59" s="3">
        <v>896915</v>
      </c>
      <c r="R59" s="3"/>
      <c r="S59" s="3">
        <v>348862</v>
      </c>
      <c r="T59" s="3"/>
      <c r="U59" s="3">
        <v>60261</v>
      </c>
      <c r="V59" s="3"/>
      <c r="W59" s="3">
        <v>2594466</v>
      </c>
      <c r="X59" s="3"/>
      <c r="Y59" s="3">
        <v>537593</v>
      </c>
      <c r="Z59" s="3"/>
      <c r="AA59" s="3">
        <v>181189</v>
      </c>
      <c r="AB59" s="3"/>
      <c r="AC59" s="3">
        <v>1421553</v>
      </c>
      <c r="AD59" s="3"/>
      <c r="AE59" s="3" t="s">
        <v>224</v>
      </c>
      <c r="AF59" s="16"/>
      <c r="AG59" s="16" t="s">
        <v>183</v>
      </c>
      <c r="AH59" s="16"/>
      <c r="AI59" s="3">
        <v>64324</v>
      </c>
      <c r="AJ59" s="3"/>
      <c r="AK59" s="3">
        <v>952167</v>
      </c>
      <c r="AL59" s="3"/>
      <c r="AM59" s="3">
        <v>0</v>
      </c>
      <c r="AN59" s="3"/>
      <c r="AO59" s="3">
        <v>0</v>
      </c>
      <c r="AP59" s="3"/>
      <c r="AQ59" s="3">
        <v>1150626</v>
      </c>
      <c r="AR59" s="3"/>
      <c r="AS59" s="3">
        <v>42858</v>
      </c>
      <c r="AT59" s="3"/>
      <c r="AU59" s="3">
        <v>173515</v>
      </c>
      <c r="AV59" s="3"/>
      <c r="AW59" s="3">
        <v>0</v>
      </c>
      <c r="AX59" s="3"/>
      <c r="AY59" s="3"/>
      <c r="AZ59" s="3"/>
      <c r="BA59" s="3">
        <v>0</v>
      </c>
      <c r="BB59" s="3"/>
      <c r="BC59" s="3">
        <f t="shared" si="3"/>
        <v>22487141</v>
      </c>
      <c r="BD59" s="3"/>
      <c r="BE59" s="3">
        <f>+'St of Act-Rev'!AG59-BC59</f>
        <v>-1247809</v>
      </c>
      <c r="BF59" s="3"/>
      <c r="BG59" s="3">
        <v>36750957</v>
      </c>
      <c r="BH59" s="3"/>
      <c r="BI59" s="3">
        <f t="shared" si="6"/>
        <v>35503148</v>
      </c>
      <c r="BK59" s="3">
        <f>+'St of Net Assets'!AA59-BI59</f>
        <v>0</v>
      </c>
      <c r="BN59" s="3"/>
      <c r="BO59" s="3" t="str">
        <f t="shared" si="4"/>
        <v>Upper Valley JVSD</v>
      </c>
      <c r="BP59" s="3" t="str">
        <f t="shared" si="5"/>
        <v>Upper Valley JVSD</v>
      </c>
      <c r="BQ59" s="16" t="b">
        <f t="shared" si="7"/>
        <v>1</v>
      </c>
      <c r="BS59" s="3" t="str">
        <f t="shared" si="8"/>
        <v>Miami</v>
      </c>
      <c r="BT59" s="3" t="b">
        <f t="shared" si="9"/>
        <v>1</v>
      </c>
    </row>
    <row r="60" spans="1:72">
      <c r="A60" s="3" t="s">
        <v>261</v>
      </c>
      <c r="B60" s="16"/>
      <c r="C60" s="16" t="s">
        <v>195</v>
      </c>
      <c r="E60" s="16">
        <v>51458</v>
      </c>
      <c r="G60" s="3">
        <v>148967</v>
      </c>
      <c r="H60" s="3"/>
      <c r="I60" s="3">
        <v>114889</v>
      </c>
      <c r="J60" s="3"/>
      <c r="K60" s="3">
        <v>8901482</v>
      </c>
      <c r="L60" s="3"/>
      <c r="M60" s="32">
        <v>617358</v>
      </c>
      <c r="N60" s="3"/>
      <c r="O60" s="3">
        <v>0</v>
      </c>
      <c r="P60" s="3"/>
      <c r="Q60" s="3">
        <v>585731</v>
      </c>
      <c r="R60" s="3"/>
      <c r="S60" s="3">
        <v>802857</v>
      </c>
      <c r="T60" s="3"/>
      <c r="U60" s="3">
        <v>96259</v>
      </c>
      <c r="V60" s="3"/>
      <c r="W60" s="3">
        <v>794859</v>
      </c>
      <c r="X60" s="3"/>
      <c r="Y60" s="3">
        <v>512235</v>
      </c>
      <c r="Z60" s="3"/>
      <c r="AA60" s="3">
        <v>0</v>
      </c>
      <c r="AB60" s="3"/>
      <c r="AC60" s="3">
        <v>1357723</v>
      </c>
      <c r="AD60" s="3"/>
      <c r="AE60" s="3" t="s">
        <v>261</v>
      </c>
      <c r="AF60" s="16"/>
      <c r="AG60" s="16" t="s">
        <v>195</v>
      </c>
      <c r="AH60" s="16"/>
      <c r="AI60" s="3">
        <v>73109</v>
      </c>
      <c r="AJ60" s="3"/>
      <c r="AK60" s="3">
        <v>0</v>
      </c>
      <c r="AL60" s="3"/>
      <c r="AM60" s="3">
        <v>0</v>
      </c>
      <c r="AN60" s="3"/>
      <c r="AO60" s="3">
        <v>177293</v>
      </c>
      <c r="AP60" s="3"/>
      <c r="AQ60" s="3">
        <v>236</v>
      </c>
      <c r="AR60" s="3"/>
      <c r="AS60" s="3">
        <v>8736</v>
      </c>
      <c r="AT60" s="3"/>
      <c r="AU60" s="3">
        <v>115676</v>
      </c>
      <c r="AV60" s="3"/>
      <c r="AW60" s="3">
        <v>0</v>
      </c>
      <c r="AX60" s="3"/>
      <c r="AY60" s="3"/>
      <c r="AZ60" s="3"/>
      <c r="BA60" s="3">
        <v>66423</v>
      </c>
      <c r="BB60" s="3"/>
      <c r="BC60" s="3">
        <f t="shared" si="3"/>
        <v>14373833</v>
      </c>
      <c r="BD60" s="3"/>
      <c r="BE60" s="3">
        <f>+'St of Act-Rev'!AG60-BC60</f>
        <v>1882099</v>
      </c>
      <c r="BF60" s="3"/>
      <c r="BG60" s="3">
        <v>44622200</v>
      </c>
      <c r="BH60" s="3"/>
      <c r="BI60" s="3">
        <f t="shared" si="6"/>
        <v>46504299</v>
      </c>
      <c r="BK60" s="3">
        <f>+'St of Net Assets'!AA60-BI60</f>
        <v>0</v>
      </c>
      <c r="BN60" s="32"/>
      <c r="BO60" s="3" t="str">
        <f t="shared" si="4"/>
        <v>Vanguard-Sentinel Career Center</v>
      </c>
      <c r="BP60" s="3" t="str">
        <f t="shared" si="5"/>
        <v>Vanguard-Sentinel Career Center</v>
      </c>
      <c r="BQ60" s="16" t="b">
        <f t="shared" si="7"/>
        <v>1</v>
      </c>
      <c r="BS60" s="3" t="str">
        <f t="shared" si="8"/>
        <v>Sandusky</v>
      </c>
      <c r="BT60" s="3" t="b">
        <f t="shared" si="9"/>
        <v>1</v>
      </c>
    </row>
    <row r="61" spans="1:72">
      <c r="A61" s="3" t="s">
        <v>262</v>
      </c>
      <c r="B61" s="16"/>
      <c r="C61" s="16" t="s">
        <v>204</v>
      </c>
      <c r="E61" s="16">
        <v>51672</v>
      </c>
      <c r="G61" s="3">
        <v>0</v>
      </c>
      <c r="H61" s="3"/>
      <c r="I61" s="3">
        <v>0</v>
      </c>
      <c r="J61" s="3"/>
      <c r="K61" s="3">
        <v>5072456</v>
      </c>
      <c r="L61" s="3"/>
      <c r="M61" s="32">
        <v>856524</v>
      </c>
      <c r="N61" s="3"/>
      <c r="O61" s="3">
        <v>0</v>
      </c>
      <c r="P61" s="3"/>
      <c r="Q61" s="3">
        <v>544603</v>
      </c>
      <c r="R61" s="3"/>
      <c r="S61" s="3">
        <v>279919</v>
      </c>
      <c r="T61" s="3"/>
      <c r="U61" s="3">
        <v>148010</v>
      </c>
      <c r="V61" s="3"/>
      <c r="W61" s="3">
        <v>455891</v>
      </c>
      <c r="X61" s="3"/>
      <c r="Y61" s="3">
        <v>405268</v>
      </c>
      <c r="Z61" s="3"/>
      <c r="AA61" s="3">
        <v>17935</v>
      </c>
      <c r="AB61" s="3"/>
      <c r="AC61" s="3">
        <v>586657</v>
      </c>
      <c r="AD61" s="3"/>
      <c r="AE61" s="3" t="s">
        <v>262</v>
      </c>
      <c r="AF61" s="16"/>
      <c r="AG61" s="16" t="s">
        <v>204</v>
      </c>
      <c r="AH61" s="16"/>
      <c r="AI61" s="3">
        <v>17934</v>
      </c>
      <c r="AJ61" s="3"/>
      <c r="AK61" s="3">
        <v>738373</v>
      </c>
      <c r="AL61" s="3"/>
      <c r="AM61" s="3">
        <v>0</v>
      </c>
      <c r="AN61" s="3"/>
      <c r="AO61" s="3">
        <v>257264</v>
      </c>
      <c r="AP61" s="3"/>
      <c r="AQ61" s="3">
        <v>15097</v>
      </c>
      <c r="AR61" s="3"/>
      <c r="AS61" s="3">
        <v>44879</v>
      </c>
      <c r="AT61" s="3"/>
      <c r="AU61" s="3">
        <v>813070</v>
      </c>
      <c r="AV61" s="3"/>
      <c r="AW61" s="3">
        <v>0</v>
      </c>
      <c r="AX61" s="3"/>
      <c r="AY61" s="3"/>
      <c r="AZ61" s="3"/>
      <c r="BA61" s="3">
        <v>0</v>
      </c>
      <c r="BB61" s="3"/>
      <c r="BC61" s="3">
        <f t="shared" si="3"/>
        <v>10253880</v>
      </c>
      <c r="BD61" s="3"/>
      <c r="BE61" s="3">
        <f>+'St of Act-Rev'!AG61-BC61</f>
        <v>1321580</v>
      </c>
      <c r="BF61" s="3"/>
      <c r="BG61" s="3">
        <v>27206870</v>
      </c>
      <c r="BH61" s="3"/>
      <c r="BI61" s="3">
        <f t="shared" si="6"/>
        <v>28528450</v>
      </c>
      <c r="BK61" s="3">
        <f>+'St of Net Assets'!AA61-BI61</f>
        <v>0</v>
      </c>
      <c r="BN61" s="3"/>
      <c r="BO61" s="3" t="str">
        <f t="shared" si="4"/>
        <v>Vantage Career Center</v>
      </c>
      <c r="BP61" s="3" t="str">
        <f t="shared" si="5"/>
        <v>Vantage Career Center</v>
      </c>
      <c r="BQ61" s="16" t="b">
        <f t="shared" si="7"/>
        <v>1</v>
      </c>
      <c r="BS61" s="3" t="str">
        <f t="shared" si="8"/>
        <v>Van Wert</v>
      </c>
      <c r="BT61" s="3" t="b">
        <f t="shared" si="9"/>
        <v>1</v>
      </c>
    </row>
    <row r="62" spans="1:72">
      <c r="A62" s="3" t="s">
        <v>228</v>
      </c>
      <c r="B62" s="16"/>
      <c r="C62" s="16" t="s">
        <v>205</v>
      </c>
      <c r="E62" s="16">
        <v>51474</v>
      </c>
      <c r="G62" s="3">
        <v>2164</v>
      </c>
      <c r="H62" s="3"/>
      <c r="I62" s="3">
        <v>158692</v>
      </c>
      <c r="J62" s="3"/>
      <c r="K62" s="3">
        <v>8925797</v>
      </c>
      <c r="L62" s="3"/>
      <c r="M62" s="32">
        <v>0</v>
      </c>
      <c r="N62" s="3"/>
      <c r="O62" s="3">
        <v>329824</v>
      </c>
      <c r="P62" s="3"/>
      <c r="Q62" s="3">
        <v>1111129</v>
      </c>
      <c r="R62" s="3"/>
      <c r="S62" s="3">
        <v>597775</v>
      </c>
      <c r="T62" s="3"/>
      <c r="U62" s="3">
        <v>17732</v>
      </c>
      <c r="V62" s="3"/>
      <c r="W62" s="3">
        <v>1430059</v>
      </c>
      <c r="X62" s="3"/>
      <c r="Y62" s="3">
        <v>501827</v>
      </c>
      <c r="Z62" s="3"/>
      <c r="AA62" s="3">
        <v>94963</v>
      </c>
      <c r="AB62" s="3"/>
      <c r="AC62" s="3">
        <v>2256351</v>
      </c>
      <c r="AD62" s="3"/>
      <c r="AE62" s="3" t="s">
        <v>228</v>
      </c>
      <c r="AF62" s="16"/>
      <c r="AG62" s="16" t="s">
        <v>205</v>
      </c>
      <c r="AH62" s="16"/>
      <c r="AI62" s="3">
        <v>133439</v>
      </c>
      <c r="AJ62" s="3"/>
      <c r="AK62" s="3">
        <v>2022800</v>
      </c>
      <c r="AL62" s="3"/>
      <c r="AM62" s="3">
        <v>0</v>
      </c>
      <c r="AN62" s="3"/>
      <c r="AO62" s="3">
        <v>348660</v>
      </c>
      <c r="AP62" s="3"/>
      <c r="AQ62" s="3">
        <v>20332</v>
      </c>
      <c r="AR62" s="3"/>
      <c r="AS62" s="3">
        <v>88482</v>
      </c>
      <c r="AT62" s="3"/>
      <c r="AU62" s="3">
        <v>276208</v>
      </c>
      <c r="AV62" s="3"/>
      <c r="AW62" s="3">
        <v>0</v>
      </c>
      <c r="AX62" s="3"/>
      <c r="AY62" s="3">
        <v>0</v>
      </c>
      <c r="AZ62" s="3"/>
      <c r="BA62" s="3">
        <v>0</v>
      </c>
      <c r="BB62" s="3"/>
      <c r="BC62" s="3">
        <f t="shared" si="3"/>
        <v>18316234</v>
      </c>
      <c r="BD62" s="3"/>
      <c r="BE62" s="3">
        <f>+'St of Act-Rev'!AG62-BC62</f>
        <v>858070</v>
      </c>
      <c r="BF62" s="3"/>
      <c r="BG62" s="3">
        <v>17399376</v>
      </c>
      <c r="BH62" s="3"/>
      <c r="BI62" s="3">
        <f t="shared" si="6"/>
        <v>18257446</v>
      </c>
      <c r="BK62" s="3">
        <f>+'St of Net Assets'!AA62-BI62</f>
        <v>0</v>
      </c>
      <c r="BN62" s="3"/>
      <c r="BO62" s="3" t="str">
        <f t="shared" si="4"/>
        <v>Warren County JVSD</v>
      </c>
      <c r="BP62" s="3" t="str">
        <f t="shared" si="5"/>
        <v>Warren County JVSD</v>
      </c>
      <c r="BQ62" s="16" t="b">
        <f t="shared" si="7"/>
        <v>1</v>
      </c>
      <c r="BS62" s="3" t="str">
        <f t="shared" si="8"/>
        <v>Warren</v>
      </c>
      <c r="BT62" s="3" t="b">
        <f t="shared" si="9"/>
        <v>1</v>
      </c>
    </row>
    <row r="63" spans="1:72">
      <c r="A63" s="3" t="s">
        <v>276</v>
      </c>
      <c r="B63" s="16"/>
      <c r="C63" s="16" t="s">
        <v>206</v>
      </c>
      <c r="E63" s="16">
        <v>51698</v>
      </c>
      <c r="G63" s="3">
        <v>843943</v>
      </c>
      <c r="H63" s="3"/>
      <c r="I63" s="3">
        <v>0</v>
      </c>
      <c r="J63" s="3"/>
      <c r="K63" s="3">
        <v>2108927</v>
      </c>
      <c r="L63" s="3"/>
      <c r="M63" s="32">
        <v>160813</v>
      </c>
      <c r="N63" s="3"/>
      <c r="O63" s="3">
        <v>0</v>
      </c>
      <c r="P63" s="3"/>
      <c r="Q63" s="3">
        <v>331032</v>
      </c>
      <c r="R63" s="3"/>
      <c r="S63" s="3">
        <v>350199</v>
      </c>
      <c r="T63" s="3"/>
      <c r="U63" s="3">
        <v>34594</v>
      </c>
      <c r="V63" s="3"/>
      <c r="W63" s="3">
        <v>494025</v>
      </c>
      <c r="X63" s="3"/>
      <c r="Y63" s="3">
        <v>326171</v>
      </c>
      <c r="Z63" s="3"/>
      <c r="AA63" s="3">
        <v>51948</v>
      </c>
      <c r="AB63" s="3"/>
      <c r="AC63" s="3">
        <v>706377</v>
      </c>
      <c r="AD63" s="3"/>
      <c r="AE63" s="3" t="s">
        <v>276</v>
      </c>
      <c r="AF63" s="16"/>
      <c r="AG63" s="16" t="s">
        <v>206</v>
      </c>
      <c r="AH63" s="16"/>
      <c r="AI63" s="3">
        <v>11715</v>
      </c>
      <c r="AJ63" s="3"/>
      <c r="AK63" s="3">
        <v>344850</v>
      </c>
      <c r="AL63" s="3"/>
      <c r="AM63" s="3">
        <v>0</v>
      </c>
      <c r="AN63" s="3"/>
      <c r="AO63" s="3">
        <v>152118</v>
      </c>
      <c r="AP63" s="3"/>
      <c r="AQ63" s="3">
        <v>789757</v>
      </c>
      <c r="AR63" s="3"/>
      <c r="AS63" s="3">
        <v>4873</v>
      </c>
      <c r="AT63" s="3"/>
      <c r="AU63" s="3">
        <v>63527</v>
      </c>
      <c r="AV63" s="3"/>
      <c r="AW63" s="3">
        <v>0</v>
      </c>
      <c r="AX63" s="3"/>
      <c r="AY63" s="3">
        <v>0</v>
      </c>
      <c r="AZ63" s="3"/>
      <c r="BA63" s="3">
        <v>0</v>
      </c>
      <c r="BB63" s="3"/>
      <c r="BC63" s="3">
        <f t="shared" si="3"/>
        <v>6774869</v>
      </c>
      <c r="BD63" s="3"/>
      <c r="BE63" s="3">
        <f>+'St of Act-Rev'!AG63-BC63</f>
        <v>305019</v>
      </c>
      <c r="BF63" s="3"/>
      <c r="BG63" s="3">
        <v>7581023</v>
      </c>
      <c r="BH63" s="3"/>
      <c r="BI63" s="3">
        <f t="shared" si="6"/>
        <v>7886042</v>
      </c>
      <c r="BK63" s="3">
        <f>+'St of Net Assets'!AA63-BI63</f>
        <v>0</v>
      </c>
      <c r="BN63" s="3"/>
      <c r="BO63" s="3" t="str">
        <f t="shared" si="4"/>
        <v>Washington County Career Center</v>
      </c>
      <c r="BP63" s="3" t="str">
        <f t="shared" si="5"/>
        <v>Washington County Career Center</v>
      </c>
      <c r="BQ63" s="16" t="b">
        <f t="shared" si="7"/>
        <v>1</v>
      </c>
      <c r="BS63" s="3" t="str">
        <f t="shared" si="8"/>
        <v>Washington</v>
      </c>
      <c r="BT63" s="3" t="b">
        <f t="shared" si="9"/>
        <v>1</v>
      </c>
    </row>
    <row r="64" spans="1:72">
      <c r="A64" s="3" t="s">
        <v>263</v>
      </c>
      <c r="B64" s="16"/>
      <c r="C64" s="16" t="s">
        <v>208</v>
      </c>
      <c r="E64" s="16">
        <v>51714</v>
      </c>
      <c r="G64" s="3">
        <v>1845031</v>
      </c>
      <c r="H64" s="3"/>
      <c r="I64" s="3">
        <v>1376</v>
      </c>
      <c r="J64" s="3"/>
      <c r="K64" s="3">
        <v>6891093</v>
      </c>
      <c r="L64" s="3"/>
      <c r="M64" s="32">
        <v>99540</v>
      </c>
      <c r="N64" s="3"/>
      <c r="O64" s="3">
        <v>0</v>
      </c>
      <c r="P64" s="3"/>
      <c r="Q64" s="3">
        <v>672883</v>
      </c>
      <c r="R64" s="3"/>
      <c r="S64" s="3">
        <v>1923772</v>
      </c>
      <c r="T64" s="3"/>
      <c r="U64" s="3">
        <v>55289</v>
      </c>
      <c r="V64" s="3"/>
      <c r="W64" s="3">
        <v>804905</v>
      </c>
      <c r="X64" s="3"/>
      <c r="Y64" s="3">
        <v>464830</v>
      </c>
      <c r="Z64" s="3"/>
      <c r="AA64" s="3">
        <v>0</v>
      </c>
      <c r="AB64" s="3"/>
      <c r="AC64" s="3">
        <v>1205890</v>
      </c>
      <c r="AD64" s="3"/>
      <c r="AE64" s="3" t="s">
        <v>263</v>
      </c>
      <c r="AF64" s="16"/>
      <c r="AG64" s="16" t="s">
        <v>208</v>
      </c>
      <c r="AH64" s="16"/>
      <c r="AI64" s="3">
        <v>51658</v>
      </c>
      <c r="AJ64" s="3"/>
      <c r="AK64" s="3">
        <v>118225</v>
      </c>
      <c r="AL64" s="3"/>
      <c r="AM64" s="3">
        <v>0</v>
      </c>
      <c r="AN64" s="3"/>
      <c r="AO64" s="3">
        <v>238544</v>
      </c>
      <c r="AP64" s="3"/>
      <c r="AQ64" s="3">
        <v>586541</v>
      </c>
      <c r="AR64" s="3"/>
      <c r="AS64" s="3">
        <v>0</v>
      </c>
      <c r="AT64" s="3"/>
      <c r="AU64" s="3">
        <v>336674</v>
      </c>
      <c r="AV64" s="3"/>
      <c r="AW64" s="3">
        <v>0</v>
      </c>
      <c r="AX64" s="3"/>
      <c r="AY64" s="3">
        <v>0</v>
      </c>
      <c r="AZ64" s="3"/>
      <c r="BA64" s="3">
        <v>0</v>
      </c>
      <c r="BB64" s="3"/>
      <c r="BC64" s="3">
        <f t="shared" si="3"/>
        <v>15296251</v>
      </c>
      <c r="BD64" s="3"/>
      <c r="BE64" s="3">
        <f>+'St of Act-Rev'!AG64-BC64</f>
        <v>1747642</v>
      </c>
      <c r="BF64" s="3"/>
      <c r="BG64" s="3">
        <v>32341176</v>
      </c>
      <c r="BH64" s="3"/>
      <c r="BI64" s="3">
        <f t="shared" si="6"/>
        <v>34088818</v>
      </c>
      <c r="BK64" s="3">
        <f>+'St of Net Assets'!AA64-BI64</f>
        <v>0</v>
      </c>
      <c r="BN64" s="32"/>
      <c r="BO64" s="3" t="str">
        <f t="shared" si="4"/>
        <v>Wayne County JVSD</v>
      </c>
      <c r="BP64" s="3" t="str">
        <f t="shared" si="5"/>
        <v>Wayne County JVSD</v>
      </c>
      <c r="BQ64" s="16" t="b">
        <f t="shared" si="7"/>
        <v>1</v>
      </c>
      <c r="BS64" s="3" t="str">
        <f t="shared" si="8"/>
        <v>Wayne</v>
      </c>
      <c r="BT64" s="3" t="b">
        <f t="shared" si="9"/>
        <v>1</v>
      </c>
    </row>
    <row r="65" spans="1:72">
      <c r="G65" s="36"/>
      <c r="H65" s="36"/>
      <c r="I65" s="36"/>
      <c r="J65" s="36"/>
      <c r="K65" s="36"/>
      <c r="L65" s="36"/>
      <c r="M65" s="32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E65" s="3"/>
      <c r="BK65" s="3"/>
      <c r="BO65" s="3"/>
      <c r="BP65" s="3"/>
      <c r="BS65" s="3"/>
      <c r="BT65" s="3"/>
    </row>
    <row r="66" spans="1:72">
      <c r="G66" s="36"/>
      <c r="H66" s="36"/>
      <c r="I66" s="36"/>
      <c r="J66" s="36"/>
      <c r="K66" s="36"/>
      <c r="L66" s="36"/>
      <c r="M66" s="32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9" t="s">
        <v>266</v>
      </c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E66" s="3"/>
      <c r="BI66" s="39" t="s">
        <v>266</v>
      </c>
      <c r="BK66" s="3"/>
      <c r="BO66" s="3"/>
      <c r="BP66" s="3"/>
      <c r="BS66" s="3"/>
      <c r="BT66" s="3"/>
    </row>
    <row r="67" spans="1:72">
      <c r="A67" s="40" t="s">
        <v>265</v>
      </c>
      <c r="B67" s="16"/>
      <c r="C67" s="16"/>
      <c r="E67" s="16"/>
      <c r="G67" s="36"/>
      <c r="H67" s="36"/>
      <c r="I67" s="36"/>
      <c r="J67" s="36"/>
      <c r="K67" s="36"/>
      <c r="L67" s="36"/>
      <c r="M67" s="32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E67" s="40" t="s">
        <v>265</v>
      </c>
      <c r="AF67" s="16"/>
      <c r="AG67" s="16"/>
      <c r="AH67" s="1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E67" s="3"/>
      <c r="BK67" s="3"/>
      <c r="BO67" s="3"/>
      <c r="BP67" s="3"/>
      <c r="BS67" s="3"/>
      <c r="BT67" s="3"/>
    </row>
    <row r="68" spans="1:72">
      <c r="A68" s="40"/>
      <c r="B68" s="16"/>
      <c r="C68" s="16"/>
      <c r="E68" s="16"/>
      <c r="G68" s="36"/>
      <c r="H68" s="36"/>
      <c r="I68" s="36"/>
      <c r="J68" s="36"/>
      <c r="K68" s="36"/>
      <c r="L68" s="36"/>
      <c r="M68" s="32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E68" s="40"/>
      <c r="AF68" s="16"/>
      <c r="AG68" s="16"/>
      <c r="AH68" s="1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E68" s="3"/>
      <c r="BK68" s="3"/>
      <c r="BO68" s="3"/>
      <c r="BP68" s="3"/>
      <c r="BS68" s="3"/>
      <c r="BT68" s="3"/>
    </row>
    <row r="69" spans="1:72" s="72" customFormat="1" hidden="1">
      <c r="A69" s="65" t="s">
        <v>414</v>
      </c>
      <c r="B69" s="65"/>
      <c r="C69" s="65" t="s">
        <v>272</v>
      </c>
      <c r="E69" s="66">
        <v>45849</v>
      </c>
      <c r="G69" s="65"/>
      <c r="H69" s="65"/>
      <c r="I69" s="65"/>
      <c r="J69" s="65"/>
      <c r="K69" s="65"/>
      <c r="L69" s="65"/>
      <c r="M69" s="80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8"/>
      <c r="AE69" s="65" t="s">
        <v>414</v>
      </c>
      <c r="AF69" s="66"/>
      <c r="AG69" s="65" t="s">
        <v>272</v>
      </c>
      <c r="AH69" s="66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>
        <f>SUM(G69:BB69)</f>
        <v>0</v>
      </c>
      <c r="BD69" s="65"/>
      <c r="BE69" s="65">
        <f>+'St of Act-Rev'!AG69-BC69</f>
        <v>0</v>
      </c>
      <c r="BF69" s="65"/>
      <c r="BG69" s="65"/>
      <c r="BH69" s="65"/>
      <c r="BI69" s="65">
        <f>+BE69+BG69</f>
        <v>0</v>
      </c>
      <c r="BJ69" s="65"/>
      <c r="BK69" s="65">
        <f>+'St of Net Assets'!AA69-BI69</f>
        <v>0</v>
      </c>
      <c r="BL69" s="74"/>
      <c r="BM69" s="74"/>
      <c r="BN69" s="66" t="s">
        <v>413</v>
      </c>
      <c r="BO69" s="65" t="str">
        <f t="shared" si="4"/>
        <v>Allen County Educ Srv Ctr (CASH)</v>
      </c>
      <c r="BP69" s="65" t="str">
        <f t="shared" si="5"/>
        <v>Allen County Educ Srv Ctr (CASH)</v>
      </c>
      <c r="BQ69" s="66" t="b">
        <f t="shared" ref="BQ69:BQ100" si="10">BO69=BP69</f>
        <v>1</v>
      </c>
      <c r="BS69" s="65" t="str">
        <f t="shared" ref="BS69:BS78" si="11">C69</f>
        <v>Allen</v>
      </c>
      <c r="BT69" s="65" t="b">
        <f t="shared" ref="BT69:BT78" si="12">C69=AG69</f>
        <v>1</v>
      </c>
    </row>
    <row r="70" spans="1:72" s="72" customFormat="1" hidden="1">
      <c r="A70" s="65" t="s">
        <v>415</v>
      </c>
      <c r="B70" s="65"/>
      <c r="C70" s="65" t="s">
        <v>147</v>
      </c>
      <c r="E70" s="66"/>
      <c r="G70" s="65"/>
      <c r="H70" s="65"/>
      <c r="I70" s="65"/>
      <c r="J70" s="65"/>
      <c r="K70" s="65"/>
      <c r="L70" s="65"/>
      <c r="M70" s="80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8"/>
      <c r="AE70" s="65" t="s">
        <v>415</v>
      </c>
      <c r="AF70" s="66"/>
      <c r="AG70" s="66" t="s">
        <v>147</v>
      </c>
      <c r="AH70" s="66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>
        <f>SUM(G70:BB70)</f>
        <v>0</v>
      </c>
      <c r="BD70" s="65"/>
      <c r="BE70" s="65">
        <f>+'St of Act-Rev'!AG70-BC70</f>
        <v>0</v>
      </c>
      <c r="BF70" s="65"/>
      <c r="BG70" s="65"/>
      <c r="BH70" s="65"/>
      <c r="BI70" s="65">
        <f>+BE70+BG70</f>
        <v>0</v>
      </c>
      <c r="BJ70" s="65"/>
      <c r="BK70" s="65">
        <f>+'St of Net Assets'!AA70-BI70</f>
        <v>0</v>
      </c>
      <c r="BL70" s="74"/>
      <c r="BM70" s="74"/>
      <c r="BN70" s="66" t="s">
        <v>377</v>
      </c>
      <c r="BO70" s="65" t="str">
        <f t="shared" si="4"/>
        <v>Ashtabula County Educ Srv Ctr (CASH)</v>
      </c>
      <c r="BP70" s="65" t="str">
        <f t="shared" si="5"/>
        <v>Ashtabula County Educ Srv Ctr (CASH)</v>
      </c>
      <c r="BQ70" s="66" t="b">
        <f t="shared" si="10"/>
        <v>1</v>
      </c>
      <c r="BS70" s="65" t="str">
        <f t="shared" si="11"/>
        <v>Ashtabula</v>
      </c>
      <c r="BT70" s="65" t="b">
        <f t="shared" si="12"/>
        <v>1</v>
      </c>
    </row>
    <row r="71" spans="1:72">
      <c r="A71" s="3" t="s">
        <v>151</v>
      </c>
      <c r="B71" s="16"/>
      <c r="C71" s="16" t="s">
        <v>148</v>
      </c>
      <c r="E71" s="16">
        <v>135145</v>
      </c>
      <c r="G71" s="20">
        <v>1348026</v>
      </c>
      <c r="H71" s="20"/>
      <c r="I71" s="20">
        <v>2309067</v>
      </c>
      <c r="J71" s="20"/>
      <c r="K71" s="20">
        <v>28832</v>
      </c>
      <c r="L71" s="20"/>
      <c r="M71" s="78">
        <v>0</v>
      </c>
      <c r="N71" s="20"/>
      <c r="O71" s="20">
        <f>59137+30339</f>
        <v>89476</v>
      </c>
      <c r="P71" s="20"/>
      <c r="Q71" s="20">
        <v>1081778</v>
      </c>
      <c r="R71" s="20"/>
      <c r="S71" s="20">
        <v>1449538</v>
      </c>
      <c r="T71" s="20"/>
      <c r="U71" s="20">
        <v>88220</v>
      </c>
      <c r="V71" s="20"/>
      <c r="W71" s="20">
        <v>606073</v>
      </c>
      <c r="X71" s="20"/>
      <c r="Y71" s="20">
        <v>554723</v>
      </c>
      <c r="Z71" s="20"/>
      <c r="AA71" s="20">
        <v>118</v>
      </c>
      <c r="AB71" s="20"/>
      <c r="AC71" s="20">
        <v>183747</v>
      </c>
      <c r="AD71" s="20"/>
      <c r="AE71" s="3" t="s">
        <v>151</v>
      </c>
      <c r="AF71" s="16"/>
      <c r="AG71" s="16" t="s">
        <v>148</v>
      </c>
      <c r="AH71" s="16"/>
      <c r="AI71" s="20">
        <v>589356</v>
      </c>
      <c r="AJ71" s="20"/>
      <c r="AK71" s="20">
        <v>45175</v>
      </c>
      <c r="AL71" s="20"/>
      <c r="AM71" s="20"/>
      <c r="AN71" s="20"/>
      <c r="AO71" s="20">
        <v>0</v>
      </c>
      <c r="AP71" s="20"/>
      <c r="AQ71" s="20">
        <v>205174</v>
      </c>
      <c r="AR71" s="20"/>
      <c r="AS71" s="20">
        <v>0</v>
      </c>
      <c r="AT71" s="20"/>
      <c r="AU71" s="20">
        <v>0</v>
      </c>
      <c r="AV71" s="20"/>
      <c r="AW71" s="20">
        <v>0</v>
      </c>
      <c r="AX71" s="20"/>
      <c r="AY71" s="20"/>
      <c r="AZ71" s="20"/>
      <c r="BA71" s="20">
        <v>0</v>
      </c>
      <c r="BB71" s="20"/>
      <c r="BC71" s="20">
        <f>SUM(G71:BB71)</f>
        <v>8579303</v>
      </c>
      <c r="BD71" s="20"/>
      <c r="BE71" s="20">
        <f>+'St of Act-Rev'!AG71-BC71</f>
        <v>147104</v>
      </c>
      <c r="BF71" s="20"/>
      <c r="BG71" s="20">
        <v>2887450</v>
      </c>
      <c r="BH71" s="20"/>
      <c r="BI71" s="20">
        <f>+BE71+BG71</f>
        <v>3034554</v>
      </c>
      <c r="BJ71" s="3"/>
      <c r="BK71" s="3">
        <f>+'St of Net Assets'!AA71-BI71</f>
        <v>0</v>
      </c>
      <c r="BN71" s="16"/>
      <c r="BO71" s="3" t="str">
        <f t="shared" si="4"/>
        <v>Athens-Meigs Educ Srv Ctr</v>
      </c>
      <c r="BP71" s="3" t="str">
        <f t="shared" si="5"/>
        <v>Athens-Meigs Educ Srv Ctr</v>
      </c>
      <c r="BQ71" s="16" t="b">
        <f t="shared" si="10"/>
        <v>1</v>
      </c>
      <c r="BS71" s="3" t="str">
        <f t="shared" si="11"/>
        <v>Athens</v>
      </c>
      <c r="BT71" s="3" t="b">
        <f t="shared" si="12"/>
        <v>1</v>
      </c>
    </row>
    <row r="72" spans="1:72" s="72" customFormat="1" hidden="1">
      <c r="A72" s="65" t="s">
        <v>416</v>
      </c>
      <c r="B72" s="65"/>
      <c r="C72" s="65" t="s">
        <v>273</v>
      </c>
      <c r="E72" s="66"/>
      <c r="G72" s="65"/>
      <c r="H72" s="65"/>
      <c r="I72" s="65"/>
      <c r="J72" s="65"/>
      <c r="K72" s="65"/>
      <c r="L72" s="65"/>
      <c r="M72" s="80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 t="s">
        <v>416</v>
      </c>
      <c r="AF72" s="65"/>
      <c r="AG72" s="65" t="s">
        <v>273</v>
      </c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>
        <f>SUM(G72:BB72)</f>
        <v>0</v>
      </c>
      <c r="BD72" s="65"/>
      <c r="BE72" s="65">
        <f>+'St of Act-Rev'!AG72-BC72</f>
        <v>0</v>
      </c>
      <c r="BF72" s="65"/>
      <c r="BG72" s="65"/>
      <c r="BH72" s="65"/>
      <c r="BI72" s="65">
        <f>+BE72+BG72</f>
        <v>0</v>
      </c>
      <c r="BJ72" s="65"/>
      <c r="BK72" s="65">
        <f>+'St of Net Assets'!AA72-BI72</f>
        <v>0</v>
      </c>
      <c r="BL72" s="74"/>
      <c r="BM72" s="74"/>
      <c r="BN72" s="66" t="s">
        <v>404</v>
      </c>
      <c r="BO72" s="65" t="str">
        <f t="shared" si="4"/>
        <v>Auglaize County Educ Srv Ctr (CASH)</v>
      </c>
      <c r="BP72" s="65" t="str">
        <f t="shared" si="5"/>
        <v>Auglaize County Educ Srv Ctr (CASH)</v>
      </c>
      <c r="BQ72" s="66" t="b">
        <f t="shared" si="10"/>
        <v>1</v>
      </c>
      <c r="BS72" s="65" t="str">
        <f t="shared" si="11"/>
        <v>Auglaize</v>
      </c>
      <c r="BT72" s="65" t="b">
        <f t="shared" si="12"/>
        <v>1</v>
      </c>
    </row>
    <row r="73" spans="1:72">
      <c r="A73" s="16" t="s">
        <v>322</v>
      </c>
      <c r="B73" s="16"/>
      <c r="C73" s="16" t="s">
        <v>153</v>
      </c>
      <c r="E73" s="16">
        <v>46029</v>
      </c>
      <c r="G73" s="3">
        <v>565469</v>
      </c>
      <c r="H73" s="3"/>
      <c r="I73" s="3">
        <v>1765701</v>
      </c>
      <c r="J73" s="3"/>
      <c r="K73" s="3">
        <v>0</v>
      </c>
      <c r="L73" s="3"/>
      <c r="M73" s="32">
        <v>10370</v>
      </c>
      <c r="N73" s="3"/>
      <c r="O73" s="3">
        <v>0</v>
      </c>
      <c r="P73" s="3"/>
      <c r="Q73" s="3">
        <v>1003844</v>
      </c>
      <c r="R73" s="3"/>
      <c r="S73" s="3">
        <v>578787</v>
      </c>
      <c r="T73" s="3"/>
      <c r="U73" s="3">
        <v>44369</v>
      </c>
      <c r="V73" s="3"/>
      <c r="W73" s="3">
        <v>270067</v>
      </c>
      <c r="X73" s="3"/>
      <c r="Y73" s="3">
        <v>208059</v>
      </c>
      <c r="Z73" s="3"/>
      <c r="AA73" s="3">
        <v>0</v>
      </c>
      <c r="AB73" s="3"/>
      <c r="AC73" s="3">
        <v>76944</v>
      </c>
      <c r="AD73" s="3"/>
      <c r="AE73" s="16" t="s">
        <v>322</v>
      </c>
      <c r="AF73" s="16"/>
      <c r="AG73" s="16" t="s">
        <v>153</v>
      </c>
      <c r="AH73" s="16"/>
      <c r="AI73" s="3">
        <v>9691</v>
      </c>
      <c r="AJ73" s="3"/>
      <c r="AK73" s="3">
        <v>165067</v>
      </c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v>0</v>
      </c>
      <c r="AT73" s="3"/>
      <c r="AU73" s="3">
        <v>0</v>
      </c>
      <c r="AV73" s="3"/>
      <c r="AW73" s="3">
        <v>0</v>
      </c>
      <c r="AX73" s="3"/>
      <c r="AY73" s="3">
        <v>0</v>
      </c>
      <c r="AZ73" s="3"/>
      <c r="BA73" s="3">
        <v>46825</v>
      </c>
      <c r="BB73" s="3"/>
      <c r="BC73" s="3">
        <f>SUM(G73:BB73)</f>
        <v>4745193</v>
      </c>
      <c r="BD73" s="3"/>
      <c r="BE73" s="3">
        <f>+'St of Act-Rev'!AG73-BC73</f>
        <v>-88854</v>
      </c>
      <c r="BF73" s="3"/>
      <c r="BG73" s="3">
        <v>1707845</v>
      </c>
      <c r="BH73" s="3"/>
      <c r="BI73" s="3">
        <f>+BE73+BG73</f>
        <v>1618991</v>
      </c>
      <c r="BJ73" s="3"/>
      <c r="BK73" s="3">
        <f>+'St of Net Assets'!AA73-BI73</f>
        <v>0</v>
      </c>
      <c r="BN73" s="3" t="s">
        <v>405</v>
      </c>
      <c r="BO73" s="3" t="str">
        <f t="shared" si="4"/>
        <v>Brown County Educ Srv Ctr</v>
      </c>
      <c r="BP73" s="3" t="str">
        <f t="shared" si="5"/>
        <v>Brown County Educ Srv Ctr</v>
      </c>
      <c r="BQ73" s="16" t="b">
        <f t="shared" si="10"/>
        <v>1</v>
      </c>
      <c r="BS73" s="3" t="str">
        <f t="shared" si="11"/>
        <v>Brown</v>
      </c>
      <c r="BT73" s="3" t="b">
        <f t="shared" si="12"/>
        <v>1</v>
      </c>
    </row>
    <row r="74" spans="1:72">
      <c r="A74" s="16" t="s">
        <v>323</v>
      </c>
      <c r="B74" s="16"/>
      <c r="C74" s="16" t="s">
        <v>150</v>
      </c>
      <c r="E74" s="16">
        <v>46086</v>
      </c>
      <c r="G74" s="3">
        <v>469629</v>
      </c>
      <c r="H74" s="3"/>
      <c r="I74" s="3">
        <v>1970585</v>
      </c>
      <c r="J74" s="3"/>
      <c r="K74" s="3">
        <v>0</v>
      </c>
      <c r="L74" s="3"/>
      <c r="M74" s="32">
        <v>0</v>
      </c>
      <c r="N74" s="3"/>
      <c r="O74" s="3">
        <v>0</v>
      </c>
      <c r="P74" s="3"/>
      <c r="Q74" s="3">
        <v>4430476</v>
      </c>
      <c r="R74" s="3"/>
      <c r="S74" s="3">
        <v>1817359</v>
      </c>
      <c r="T74" s="3"/>
      <c r="U74" s="3">
        <v>12826</v>
      </c>
      <c r="V74" s="3"/>
      <c r="W74" s="3">
        <v>1487220</v>
      </c>
      <c r="X74" s="3"/>
      <c r="Y74" s="3">
        <v>371901</v>
      </c>
      <c r="Z74" s="3"/>
      <c r="AA74" s="3">
        <v>0</v>
      </c>
      <c r="AB74" s="3"/>
      <c r="AC74" s="3">
        <v>1733482</v>
      </c>
      <c r="AD74" s="3"/>
      <c r="AE74" s="16" t="s">
        <v>323</v>
      </c>
      <c r="AF74" s="16"/>
      <c r="AG74" s="16" t="s">
        <v>150</v>
      </c>
      <c r="AH74" s="16"/>
      <c r="AI74" s="3">
        <v>155899</v>
      </c>
      <c r="AJ74" s="3"/>
      <c r="AK74" s="3">
        <v>1773892</v>
      </c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v>160634</v>
      </c>
      <c r="AV74" s="3"/>
      <c r="AW74" s="3">
        <v>0</v>
      </c>
      <c r="AX74" s="3"/>
      <c r="AY74" s="3">
        <v>0</v>
      </c>
      <c r="AZ74" s="3"/>
      <c r="BA74" s="3">
        <v>0</v>
      </c>
      <c r="BB74" s="3"/>
      <c r="BC74" s="3">
        <f t="shared" ref="BC74:BC130" si="13">SUM(G74:BB74)</f>
        <v>14383903</v>
      </c>
      <c r="BD74" s="3"/>
      <c r="BE74" s="3">
        <f>+'St of Act-Rev'!AG74-BC74</f>
        <v>-736593</v>
      </c>
      <c r="BF74" s="3"/>
      <c r="BG74" s="3">
        <v>4139359</v>
      </c>
      <c r="BH74" s="3"/>
      <c r="BI74" s="3">
        <f t="shared" ref="BI74:BI130" si="14">+BE74+BG74</f>
        <v>3402766</v>
      </c>
      <c r="BJ74" s="3"/>
      <c r="BK74" s="3">
        <f>+'St of Net Assets'!AA74-BI74</f>
        <v>0</v>
      </c>
      <c r="BN74" s="3"/>
      <c r="BO74" s="3" t="str">
        <f t="shared" si="4"/>
        <v>Butler County Educ Srv Ctr</v>
      </c>
      <c r="BP74" s="3" t="str">
        <f t="shared" si="5"/>
        <v>Butler County Educ Srv Ctr</v>
      </c>
      <c r="BQ74" s="16" t="b">
        <f t="shared" si="10"/>
        <v>1</v>
      </c>
      <c r="BS74" s="3" t="str">
        <f t="shared" si="11"/>
        <v>Butler</v>
      </c>
      <c r="BT74" s="3" t="b">
        <f t="shared" si="12"/>
        <v>1</v>
      </c>
    </row>
    <row r="75" spans="1:72">
      <c r="A75" s="16" t="s">
        <v>324</v>
      </c>
      <c r="B75" s="16"/>
      <c r="C75" s="16" t="s">
        <v>155</v>
      </c>
      <c r="E75" s="16">
        <v>46227</v>
      </c>
      <c r="G75" s="3">
        <v>1345</v>
      </c>
      <c r="H75" s="3"/>
      <c r="I75" s="3">
        <v>1441635</v>
      </c>
      <c r="J75" s="3"/>
      <c r="K75" s="3">
        <v>55766</v>
      </c>
      <c r="L75" s="3"/>
      <c r="M75" s="32">
        <v>0</v>
      </c>
      <c r="N75" s="3"/>
      <c r="O75" s="3">
        <v>65151</v>
      </c>
      <c r="P75" s="3"/>
      <c r="Q75" s="3">
        <v>1770975</v>
      </c>
      <c r="R75" s="3"/>
      <c r="S75" s="3">
        <v>1961653</v>
      </c>
      <c r="T75" s="3"/>
      <c r="U75" s="3">
        <v>21206</v>
      </c>
      <c r="V75" s="3"/>
      <c r="W75" s="3">
        <v>591309</v>
      </c>
      <c r="X75" s="3"/>
      <c r="Y75" s="3">
        <v>211763</v>
      </c>
      <c r="Z75" s="3"/>
      <c r="AA75" s="3">
        <v>11832</v>
      </c>
      <c r="AB75" s="3"/>
      <c r="AC75" s="3">
        <v>86595</v>
      </c>
      <c r="AD75" s="3"/>
      <c r="AE75" s="16" t="s">
        <v>324</v>
      </c>
      <c r="AF75" s="16"/>
      <c r="AG75" s="16" t="s">
        <v>155</v>
      </c>
      <c r="AH75" s="16"/>
      <c r="AI75" s="3">
        <v>0</v>
      </c>
      <c r="AJ75" s="3"/>
      <c r="AK75" s="3">
        <v>55031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5</v>
      </c>
      <c r="AV75" s="3"/>
      <c r="AW75" s="3">
        <v>0</v>
      </c>
      <c r="AX75" s="3"/>
      <c r="AY75" s="3">
        <v>0</v>
      </c>
      <c r="AZ75" s="3"/>
      <c r="BA75" s="3">
        <v>0</v>
      </c>
      <c r="BB75" s="3"/>
      <c r="BC75" s="3">
        <f t="shared" si="13"/>
        <v>6274266</v>
      </c>
      <c r="BD75" s="3"/>
      <c r="BE75" s="3">
        <f>+'St of Act-Rev'!AG75-BC75</f>
        <v>127497</v>
      </c>
      <c r="BF75" s="3"/>
      <c r="BG75" s="3">
        <v>1700637</v>
      </c>
      <c r="BH75" s="3"/>
      <c r="BI75" s="3">
        <f t="shared" si="14"/>
        <v>1828134</v>
      </c>
      <c r="BJ75" s="3"/>
      <c r="BK75" s="3">
        <f>+'St of Net Assets'!AA75-BI75</f>
        <v>0</v>
      </c>
      <c r="BN75" s="3"/>
      <c r="BO75" s="3" t="str">
        <f t="shared" si="4"/>
        <v>Clark County Educ Srv Ctr</v>
      </c>
      <c r="BP75" s="3" t="str">
        <f t="shared" si="5"/>
        <v>Clark County Educ Srv Ctr</v>
      </c>
      <c r="BQ75" s="16" t="b">
        <f t="shared" si="10"/>
        <v>1</v>
      </c>
      <c r="BS75" s="3" t="str">
        <f t="shared" si="11"/>
        <v>Clark</v>
      </c>
      <c r="BT75" s="3" t="b">
        <f t="shared" si="12"/>
        <v>1</v>
      </c>
    </row>
    <row r="76" spans="1:72">
      <c r="A76" s="3" t="s">
        <v>156</v>
      </c>
      <c r="B76" s="16"/>
      <c r="C76" s="16" t="s">
        <v>157</v>
      </c>
      <c r="E76" s="16">
        <v>46292</v>
      </c>
      <c r="G76" s="3">
        <v>255767</v>
      </c>
      <c r="H76" s="3"/>
      <c r="I76" s="3">
        <v>6945572</v>
      </c>
      <c r="J76" s="3"/>
      <c r="K76" s="3">
        <v>0</v>
      </c>
      <c r="L76" s="3"/>
      <c r="M76" s="32">
        <v>66911</v>
      </c>
      <c r="N76" s="3"/>
      <c r="O76" s="3">
        <v>0</v>
      </c>
      <c r="P76" s="3"/>
      <c r="Q76" s="3">
        <v>4649183</v>
      </c>
      <c r="R76" s="3"/>
      <c r="S76" s="3">
        <v>6121648</v>
      </c>
      <c r="T76" s="3"/>
      <c r="U76" s="3">
        <v>234226</v>
      </c>
      <c r="V76" s="3"/>
      <c r="W76" s="3">
        <v>480016</v>
      </c>
      <c r="X76" s="3"/>
      <c r="Y76" s="3">
        <v>278085</v>
      </c>
      <c r="Z76" s="3"/>
      <c r="AA76" s="3">
        <v>0</v>
      </c>
      <c r="AB76" s="3"/>
      <c r="AC76" s="3">
        <v>0</v>
      </c>
      <c r="AD76" s="3"/>
      <c r="AE76" s="3" t="s">
        <v>156</v>
      </c>
      <c r="AF76" s="16"/>
      <c r="AG76" s="16" t="s">
        <v>157</v>
      </c>
      <c r="AH76" s="16"/>
      <c r="AI76" s="3">
        <v>0</v>
      </c>
      <c r="AJ76" s="3"/>
      <c r="AK76" s="3">
        <v>40897</v>
      </c>
      <c r="AL76" s="3"/>
      <c r="AM76" s="3">
        <v>0</v>
      </c>
      <c r="AN76" s="3"/>
      <c r="AO76" s="3">
        <v>0</v>
      </c>
      <c r="AP76" s="3"/>
      <c r="AQ76" s="3">
        <v>74808</v>
      </c>
      <c r="AR76" s="3"/>
      <c r="AS76" s="3">
        <v>0</v>
      </c>
      <c r="AT76" s="3"/>
      <c r="AU76" s="3">
        <v>0</v>
      </c>
      <c r="AV76" s="3"/>
      <c r="AW76" s="3">
        <v>0</v>
      </c>
      <c r="AX76" s="3"/>
      <c r="AY76" s="3">
        <v>0</v>
      </c>
      <c r="AZ76" s="3"/>
      <c r="BA76" s="3">
        <v>0</v>
      </c>
      <c r="BB76" s="3"/>
      <c r="BC76" s="3">
        <f t="shared" si="13"/>
        <v>19147113</v>
      </c>
      <c r="BD76" s="3"/>
      <c r="BE76" s="3">
        <f>+'St of Act-Rev'!AG76-BC76</f>
        <v>152242</v>
      </c>
      <c r="BF76" s="3"/>
      <c r="BG76" s="3">
        <v>4039534</v>
      </c>
      <c r="BH76" s="3"/>
      <c r="BI76" s="3">
        <f t="shared" si="14"/>
        <v>4191776</v>
      </c>
      <c r="BJ76" s="3"/>
      <c r="BK76" s="3">
        <f>+'St of Net Assets'!AA76-BI76</f>
        <v>0</v>
      </c>
      <c r="BN76" s="3" t="s">
        <v>425</v>
      </c>
      <c r="BO76" s="3" t="str">
        <f t="shared" si="4"/>
        <v>Clermont County Educ Srv Ctr</v>
      </c>
      <c r="BP76" s="3" t="str">
        <f t="shared" si="5"/>
        <v>Clermont County Educ Srv Ctr</v>
      </c>
      <c r="BQ76" s="16" t="b">
        <f t="shared" si="10"/>
        <v>1</v>
      </c>
      <c r="BS76" s="3" t="str">
        <f t="shared" si="11"/>
        <v>Clermont</v>
      </c>
      <c r="BT76" s="3" t="b">
        <f t="shared" si="12"/>
        <v>1</v>
      </c>
    </row>
    <row r="77" spans="1:72" s="72" customFormat="1" hidden="1">
      <c r="A77" s="66" t="s">
        <v>294</v>
      </c>
      <c r="B77" s="66"/>
      <c r="C77" s="66" t="s">
        <v>158</v>
      </c>
      <c r="E77" s="66">
        <v>46375</v>
      </c>
      <c r="G77" s="65"/>
      <c r="H77" s="65"/>
      <c r="I77" s="65"/>
      <c r="J77" s="65"/>
      <c r="K77" s="65"/>
      <c r="L77" s="65"/>
      <c r="M77" s="80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6" t="s">
        <v>294</v>
      </c>
      <c r="AF77" s="66"/>
      <c r="AG77" s="66" t="s">
        <v>158</v>
      </c>
      <c r="AH77" s="66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>
        <v>0</v>
      </c>
      <c r="BD77" s="65"/>
      <c r="BE77" s="65">
        <f>+'St of Act-Rev'!AG77-BC77</f>
        <v>0</v>
      </c>
      <c r="BF77" s="65"/>
      <c r="BG77" s="65"/>
      <c r="BH77" s="65"/>
      <c r="BI77" s="65">
        <f t="shared" si="14"/>
        <v>0</v>
      </c>
      <c r="BJ77" s="65"/>
      <c r="BK77" s="65">
        <f>+'St of Net Assets'!AA77-BI77</f>
        <v>0</v>
      </c>
      <c r="BL77" s="74"/>
      <c r="BM77" s="74"/>
      <c r="BN77" s="66" t="s">
        <v>314</v>
      </c>
      <c r="BO77" s="65" t="str">
        <f t="shared" si="4"/>
        <v>Clinton Fayette Highland Educ-now Southern Ohio ESC</v>
      </c>
      <c r="BP77" s="65" t="str">
        <f t="shared" si="5"/>
        <v>Clinton Fayette Highland Educ-now Southern Ohio ESC</v>
      </c>
      <c r="BQ77" s="66" t="b">
        <f t="shared" si="10"/>
        <v>1</v>
      </c>
      <c r="BS77" s="65" t="str">
        <f t="shared" si="11"/>
        <v>Clinton</v>
      </c>
      <c r="BT77" s="65" t="b">
        <f t="shared" si="12"/>
        <v>1</v>
      </c>
    </row>
    <row r="78" spans="1:72">
      <c r="A78" s="16" t="s">
        <v>345</v>
      </c>
      <c r="B78" s="16"/>
      <c r="C78" s="16" t="s">
        <v>159</v>
      </c>
      <c r="E78" s="16">
        <v>46417</v>
      </c>
      <c r="G78" s="3">
        <v>962033</v>
      </c>
      <c r="H78" s="3"/>
      <c r="I78" s="3">
        <v>1904000</v>
      </c>
      <c r="J78" s="3"/>
      <c r="K78" s="3">
        <v>0</v>
      </c>
      <c r="L78" s="3"/>
      <c r="M78" s="32">
        <v>0</v>
      </c>
      <c r="N78" s="3"/>
      <c r="O78" s="3">
        <v>0</v>
      </c>
      <c r="P78" s="3"/>
      <c r="Q78" s="3">
        <v>2405314</v>
      </c>
      <c r="R78" s="3"/>
      <c r="S78" s="3">
        <v>3077853</v>
      </c>
      <c r="T78" s="3"/>
      <c r="U78" s="3">
        <v>32545</v>
      </c>
      <c r="V78" s="3"/>
      <c r="W78" s="3">
        <v>624700</v>
      </c>
      <c r="X78" s="3"/>
      <c r="Y78" s="3">
        <v>171737</v>
      </c>
      <c r="Z78" s="3"/>
      <c r="AA78" s="3">
        <v>0</v>
      </c>
      <c r="AB78" s="3"/>
      <c r="AC78" s="3">
        <v>150601</v>
      </c>
      <c r="AD78" s="3"/>
      <c r="AE78" s="16" t="s">
        <v>345</v>
      </c>
      <c r="AF78" s="16"/>
      <c r="AG78" s="16" t="s">
        <v>159</v>
      </c>
      <c r="AH78" s="16"/>
      <c r="AI78" s="3">
        <v>537459</v>
      </c>
      <c r="AJ78" s="3"/>
      <c r="AK78" s="3">
        <v>348484</v>
      </c>
      <c r="AL78" s="3"/>
      <c r="AM78" s="3">
        <v>0</v>
      </c>
      <c r="AN78" s="3"/>
      <c r="AO78" s="3">
        <v>0</v>
      </c>
      <c r="AP78" s="3"/>
      <c r="AQ78" s="3">
        <v>55121</v>
      </c>
      <c r="AR78" s="3"/>
      <c r="AS78" s="3">
        <v>24561</v>
      </c>
      <c r="AT78" s="3"/>
      <c r="AU78" s="3">
        <v>0</v>
      </c>
      <c r="AV78" s="3"/>
      <c r="AW78" s="3">
        <v>0</v>
      </c>
      <c r="AX78" s="3"/>
      <c r="AY78" s="3">
        <v>0</v>
      </c>
      <c r="AZ78" s="3"/>
      <c r="BA78" s="3">
        <v>0</v>
      </c>
      <c r="BB78" s="3"/>
      <c r="BC78" s="3">
        <f t="shared" si="13"/>
        <v>10294408</v>
      </c>
      <c r="BD78" s="3"/>
      <c r="BE78" s="3">
        <f>+'St of Act-Rev'!AG78-BC78</f>
        <v>369147</v>
      </c>
      <c r="BF78" s="3"/>
      <c r="BG78" s="3">
        <v>51488</v>
      </c>
      <c r="BH78" s="3"/>
      <c r="BI78" s="3">
        <f t="shared" si="14"/>
        <v>420635</v>
      </c>
      <c r="BJ78" s="3"/>
      <c r="BK78" s="3">
        <f>+'St of Net Assets'!AA78-BI78</f>
        <v>0</v>
      </c>
      <c r="BN78" s="3"/>
      <c r="BO78" s="3" t="str">
        <f t="shared" si="4"/>
        <v>Columbiana County Educ Srv Ctr</v>
      </c>
      <c r="BP78" s="3" t="str">
        <f t="shared" si="5"/>
        <v>Columbiana County Educ Srv Ctr</v>
      </c>
      <c r="BQ78" s="16" t="b">
        <f t="shared" si="10"/>
        <v>1</v>
      </c>
      <c r="BS78" s="3" t="str">
        <f t="shared" si="11"/>
        <v>Columbiana</v>
      </c>
      <c r="BT78" s="3" t="b">
        <f t="shared" si="12"/>
        <v>1</v>
      </c>
    </row>
    <row r="79" spans="1:72">
      <c r="A79" s="3" t="s">
        <v>347</v>
      </c>
      <c r="B79" s="16"/>
      <c r="C79" s="16" t="s">
        <v>160</v>
      </c>
      <c r="E79" s="16">
        <v>46532</v>
      </c>
      <c r="G79" s="3">
        <v>645023</v>
      </c>
      <c r="H79" s="3"/>
      <c r="I79" s="3">
        <v>28136720</v>
      </c>
      <c r="J79" s="3"/>
      <c r="K79" s="3">
        <v>461081</v>
      </c>
      <c r="L79" s="3"/>
      <c r="M79" s="32">
        <v>0</v>
      </c>
      <c r="N79" s="3"/>
      <c r="O79" s="3">
        <v>0</v>
      </c>
      <c r="P79" s="3"/>
      <c r="Q79" s="3">
        <v>6850972</v>
      </c>
      <c r="R79" s="3"/>
      <c r="S79" s="3">
        <v>13050974</v>
      </c>
      <c r="T79" s="3"/>
      <c r="U79" s="3">
        <v>68537</v>
      </c>
      <c r="V79" s="3"/>
      <c r="W79" s="3">
        <v>11837554</v>
      </c>
      <c r="X79" s="3"/>
      <c r="Y79" s="3">
        <v>1208020</v>
      </c>
      <c r="Z79" s="3"/>
      <c r="AA79" s="3">
        <v>15784</v>
      </c>
      <c r="AB79" s="3"/>
      <c r="AC79" s="3">
        <v>1003308</v>
      </c>
      <c r="AD79" s="3"/>
      <c r="AE79" s="3" t="s">
        <v>347</v>
      </c>
      <c r="AF79" s="16"/>
      <c r="AG79" s="16" t="s">
        <v>160</v>
      </c>
      <c r="AH79" s="16"/>
      <c r="AI79" s="3">
        <v>4531</v>
      </c>
      <c r="AJ79" s="3"/>
      <c r="AK79" s="3">
        <v>161821</v>
      </c>
      <c r="AL79" s="3"/>
      <c r="AM79" s="3">
        <v>0</v>
      </c>
      <c r="AN79" s="3"/>
      <c r="AO79" s="3">
        <v>0</v>
      </c>
      <c r="AP79" s="3"/>
      <c r="AQ79" s="3">
        <v>6210536</v>
      </c>
      <c r="AR79" s="3"/>
      <c r="AS79" s="3">
        <v>61450</v>
      </c>
      <c r="AT79" s="3"/>
      <c r="AU79" s="3">
        <v>82625</v>
      </c>
      <c r="AV79" s="3"/>
      <c r="AW79" s="3">
        <v>0</v>
      </c>
      <c r="AX79" s="3"/>
      <c r="AY79" s="3">
        <v>0</v>
      </c>
      <c r="AZ79" s="3"/>
      <c r="BA79" s="3">
        <v>0</v>
      </c>
      <c r="BB79" s="3"/>
      <c r="BC79" s="3">
        <f t="shared" si="13"/>
        <v>69798936</v>
      </c>
      <c r="BD79" s="3"/>
      <c r="BE79" s="3">
        <f>+'St of Act-Rev'!AG79-BC79</f>
        <v>-2173057</v>
      </c>
      <c r="BF79" s="3"/>
      <c r="BG79" s="3">
        <v>27371627</v>
      </c>
      <c r="BH79" s="3"/>
      <c r="BI79" s="3">
        <f t="shared" si="14"/>
        <v>25198570</v>
      </c>
      <c r="BJ79" s="3"/>
      <c r="BK79" s="3">
        <f>+'St of Net Assets'!AA79-BI79</f>
        <v>0</v>
      </c>
      <c r="BN79" s="16" t="s">
        <v>315</v>
      </c>
      <c r="BO79" s="3" t="str">
        <f t="shared" si="4"/>
        <v>Cuyahoga Educ Srv Ctr-now Educ Srv Ctr of Cuyahoga County</v>
      </c>
      <c r="BP79" s="3" t="str">
        <f t="shared" ref="BP79:BP130" si="15">AE79</f>
        <v>Cuyahoga Educ Srv Ctr-now Educ Srv Ctr of Cuyahoga County</v>
      </c>
      <c r="BQ79" s="16" t="b">
        <f t="shared" si="10"/>
        <v>1</v>
      </c>
      <c r="BS79" s="3" t="str">
        <f t="shared" ref="BS79:BS130" si="16">C79</f>
        <v>Cuyahoga</v>
      </c>
      <c r="BT79" s="3" t="b">
        <f t="shared" ref="BT79:BT130" si="17">C79=AG79</f>
        <v>1</v>
      </c>
    </row>
    <row r="80" spans="1:72" s="72" customFormat="1" hidden="1">
      <c r="A80" s="65" t="s">
        <v>376</v>
      </c>
      <c r="B80" s="66"/>
      <c r="C80" s="66" t="s">
        <v>161</v>
      </c>
      <c r="E80" s="66">
        <v>46615</v>
      </c>
      <c r="G80" s="65"/>
      <c r="H80" s="65"/>
      <c r="I80" s="65"/>
      <c r="J80" s="65"/>
      <c r="K80" s="65"/>
      <c r="L80" s="65"/>
      <c r="M80" s="80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 t="s">
        <v>376</v>
      </c>
      <c r="AF80" s="66"/>
      <c r="AG80" s="66" t="s">
        <v>161</v>
      </c>
      <c r="AH80" s="66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>
        <f t="shared" si="13"/>
        <v>0</v>
      </c>
      <c r="BD80" s="65"/>
      <c r="BE80" s="65">
        <f>+'St of Act-Rev'!AG80-BC80</f>
        <v>0</v>
      </c>
      <c r="BF80" s="65"/>
      <c r="BG80" s="65"/>
      <c r="BH80" s="65"/>
      <c r="BI80" s="65">
        <f t="shared" si="14"/>
        <v>0</v>
      </c>
      <c r="BJ80" s="65"/>
      <c r="BK80" s="65">
        <f>+'St of Net Assets'!AA80-BI80</f>
        <v>0</v>
      </c>
      <c r="BL80" s="74"/>
      <c r="BM80" s="74"/>
      <c r="BN80" s="66" t="s">
        <v>377</v>
      </c>
      <c r="BO80" s="65" t="str">
        <f t="shared" ref="BO80:BO130" si="18">A80</f>
        <v>Darke County Educ Srv Ctr (CASH)</v>
      </c>
      <c r="BP80" s="65" t="str">
        <f t="shared" si="15"/>
        <v>Darke County Educ Srv Ctr (CASH)</v>
      </c>
      <c r="BQ80" s="66" t="b">
        <f t="shared" si="10"/>
        <v>1</v>
      </c>
      <c r="BS80" s="65" t="str">
        <f t="shared" si="16"/>
        <v>Darke</v>
      </c>
      <c r="BT80" s="65" t="b">
        <f t="shared" si="17"/>
        <v>1</v>
      </c>
    </row>
    <row r="81" spans="1:72" s="72" customFormat="1" hidden="1">
      <c r="A81" s="65" t="s">
        <v>346</v>
      </c>
      <c r="B81" s="66"/>
      <c r="C81" s="66" t="s">
        <v>162</v>
      </c>
      <c r="E81" s="66">
        <v>46730</v>
      </c>
      <c r="G81" s="65"/>
      <c r="H81" s="65"/>
      <c r="I81" s="65"/>
      <c r="J81" s="65"/>
      <c r="K81" s="65"/>
      <c r="L81" s="65"/>
      <c r="M81" s="80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 t="s">
        <v>346</v>
      </c>
      <c r="AF81" s="66"/>
      <c r="AG81" s="66" t="s">
        <v>162</v>
      </c>
      <c r="AH81" s="66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>
        <f t="shared" si="13"/>
        <v>0</v>
      </c>
      <c r="BD81" s="65"/>
      <c r="BE81" s="65">
        <f>+'St of Act-Rev'!AG81-BC81</f>
        <v>0</v>
      </c>
      <c r="BF81" s="65"/>
      <c r="BG81" s="65"/>
      <c r="BH81" s="65"/>
      <c r="BI81" s="65">
        <f t="shared" si="14"/>
        <v>0</v>
      </c>
      <c r="BJ81" s="65"/>
      <c r="BK81" s="65">
        <f>+'St of Net Assets'!AA81-BI81</f>
        <v>0</v>
      </c>
      <c r="BL81" s="74"/>
      <c r="BM81" s="74"/>
      <c r="BN81" s="66" t="s">
        <v>316</v>
      </c>
      <c r="BO81" s="65" t="str">
        <f t="shared" si="18"/>
        <v>Delaware-Union Educ Srv Ctr - see note to right</v>
      </c>
      <c r="BP81" s="65" t="str">
        <f t="shared" si="15"/>
        <v>Delaware-Union Educ Srv Ctr - see note to right</v>
      </c>
      <c r="BQ81" s="66" t="b">
        <f t="shared" si="10"/>
        <v>1</v>
      </c>
      <c r="BS81" s="65" t="str">
        <f t="shared" si="16"/>
        <v>Delaware</v>
      </c>
      <c r="BT81" s="65" t="b">
        <f t="shared" si="17"/>
        <v>1</v>
      </c>
    </row>
    <row r="82" spans="1:72">
      <c r="A82" s="3" t="s">
        <v>344</v>
      </c>
      <c r="B82" s="16"/>
      <c r="C82" s="3" t="s">
        <v>202</v>
      </c>
      <c r="E82" s="16"/>
      <c r="G82" s="3">
        <v>716577</v>
      </c>
      <c r="H82" s="3"/>
      <c r="I82" s="3">
        <v>1360275</v>
      </c>
      <c r="J82" s="3"/>
      <c r="K82" s="3">
        <v>8347</v>
      </c>
      <c r="L82" s="3"/>
      <c r="M82" s="32">
        <v>0</v>
      </c>
      <c r="N82" s="3"/>
      <c r="O82" s="3">
        <v>335052</v>
      </c>
      <c r="P82" s="3"/>
      <c r="Q82" s="3">
        <v>2236458</v>
      </c>
      <c r="R82" s="3"/>
      <c r="S82" s="3">
        <v>2836505</v>
      </c>
      <c r="T82" s="3"/>
      <c r="U82" s="3">
        <v>17676</v>
      </c>
      <c r="V82" s="3"/>
      <c r="W82" s="3">
        <v>375348</v>
      </c>
      <c r="X82" s="3"/>
      <c r="Y82" s="3">
        <v>249412</v>
      </c>
      <c r="Z82" s="3"/>
      <c r="AA82" s="3">
        <v>118956</v>
      </c>
      <c r="AB82" s="3"/>
      <c r="AC82" s="3">
        <v>201753</v>
      </c>
      <c r="AD82" s="3"/>
      <c r="AE82" s="3" t="s">
        <v>344</v>
      </c>
      <c r="AF82" s="16"/>
      <c r="AG82" s="3" t="s">
        <v>202</v>
      </c>
      <c r="AH82" s="16"/>
      <c r="AI82" s="3">
        <v>12416</v>
      </c>
      <c r="AJ82" s="3"/>
      <c r="AK82" s="3">
        <v>348763</v>
      </c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v>0</v>
      </c>
      <c r="AT82" s="3"/>
      <c r="AU82" s="3">
        <v>28186</v>
      </c>
      <c r="AV82" s="3"/>
      <c r="AW82" s="3">
        <v>0</v>
      </c>
      <c r="AX82" s="3"/>
      <c r="AY82" s="3"/>
      <c r="AZ82" s="3"/>
      <c r="BA82" s="3">
        <v>0</v>
      </c>
      <c r="BB82" s="3"/>
      <c r="BC82" s="3">
        <f t="shared" si="13"/>
        <v>8845724</v>
      </c>
      <c r="BD82" s="3"/>
      <c r="BE82" s="3">
        <f>+'St of Act-Rev'!AG82-BC82</f>
        <v>630860</v>
      </c>
      <c r="BF82" s="3"/>
      <c r="BG82" s="3">
        <v>1486386</v>
      </c>
      <c r="BH82" s="3"/>
      <c r="BI82" s="3">
        <f t="shared" si="14"/>
        <v>2117246</v>
      </c>
      <c r="BJ82" s="3"/>
      <c r="BK82" s="3">
        <f>+'St of Net Assets'!AA82-BI82</f>
        <v>0</v>
      </c>
      <c r="BN82" s="16" t="s">
        <v>317</v>
      </c>
      <c r="BO82" s="3" t="str">
        <f t="shared" ref="BO82" si="19">A82</f>
        <v>East Central Ohio Educ Srv Ctr</v>
      </c>
      <c r="BP82" s="3" t="str">
        <f t="shared" si="15"/>
        <v>East Central Ohio Educ Srv Ctr</v>
      </c>
      <c r="BQ82" s="16" t="b">
        <f t="shared" si="10"/>
        <v>1</v>
      </c>
      <c r="BS82" s="3" t="str">
        <f t="shared" si="16"/>
        <v>Tuscarawas</v>
      </c>
      <c r="BT82" s="3" t="b">
        <f t="shared" si="17"/>
        <v>1</v>
      </c>
    </row>
    <row r="83" spans="1:72">
      <c r="A83" s="3" t="s">
        <v>382</v>
      </c>
      <c r="B83" s="16"/>
      <c r="C83" s="16" t="s">
        <v>165</v>
      </c>
      <c r="E83" s="16">
        <v>46938</v>
      </c>
      <c r="G83" s="3">
        <v>836954</v>
      </c>
      <c r="H83" s="3"/>
      <c r="I83" s="3">
        <v>9878948</v>
      </c>
      <c r="J83" s="3"/>
      <c r="K83" s="3">
        <v>0</v>
      </c>
      <c r="L83" s="3"/>
      <c r="M83" s="32">
        <v>0</v>
      </c>
      <c r="N83" s="3"/>
      <c r="O83" s="3">
        <v>54732</v>
      </c>
      <c r="P83" s="3"/>
      <c r="Q83" s="3">
        <v>8467081</v>
      </c>
      <c r="R83" s="3"/>
      <c r="S83" s="3">
        <v>12171012</v>
      </c>
      <c r="T83" s="3"/>
      <c r="U83" s="3">
        <v>68595</v>
      </c>
      <c r="V83" s="3"/>
      <c r="W83" s="3">
        <v>10729482</v>
      </c>
      <c r="X83" s="3"/>
      <c r="Y83" s="3">
        <v>3024254</v>
      </c>
      <c r="Z83" s="3"/>
      <c r="AA83" s="3">
        <v>595048</v>
      </c>
      <c r="AB83" s="3"/>
      <c r="AC83" s="3">
        <v>1150542</v>
      </c>
      <c r="AD83" s="3"/>
      <c r="AE83" s="3" t="s">
        <v>382</v>
      </c>
      <c r="AF83" s="16"/>
      <c r="AG83" s="16" t="s">
        <v>165</v>
      </c>
      <c r="AH83" s="16"/>
      <c r="AI83" s="3">
        <v>197237</v>
      </c>
      <c r="AJ83" s="3"/>
      <c r="AK83" s="3">
        <v>14950223</v>
      </c>
      <c r="AL83" s="3"/>
      <c r="AM83" s="3">
        <v>0</v>
      </c>
      <c r="AN83" s="3"/>
      <c r="AO83" s="3">
        <v>0</v>
      </c>
      <c r="AP83" s="3"/>
      <c r="AQ83" s="3">
        <v>66912</v>
      </c>
      <c r="AR83" s="3"/>
      <c r="AS83" s="3">
        <v>92553</v>
      </c>
      <c r="AT83" s="3"/>
      <c r="AU83" s="3">
        <v>138586</v>
      </c>
      <c r="AV83" s="3"/>
      <c r="AW83" s="3">
        <v>0</v>
      </c>
      <c r="AX83" s="3"/>
      <c r="AY83" s="3"/>
      <c r="AZ83" s="3"/>
      <c r="BA83" s="3">
        <v>0</v>
      </c>
      <c r="BB83" s="3"/>
      <c r="BC83" s="3">
        <f>SUM(G83:BB83)</f>
        <v>62422159</v>
      </c>
      <c r="BD83" s="3"/>
      <c r="BE83" s="3">
        <f>+'St of Act-Rev'!AG83-BC83</f>
        <v>41874</v>
      </c>
      <c r="BF83" s="3"/>
      <c r="BG83" s="3">
        <v>16495034</v>
      </c>
      <c r="BH83" s="3"/>
      <c r="BI83" s="3">
        <f>+BE83+BG83</f>
        <v>16536908</v>
      </c>
      <c r="BJ83" s="3"/>
      <c r="BK83" s="3">
        <f>+'St of Net Assets'!AA83-BI83</f>
        <v>0</v>
      </c>
      <c r="BN83" s="16" t="s">
        <v>319</v>
      </c>
      <c r="BO83" s="3" t="str">
        <f>A83</f>
        <v>Educational Service Center of Central Ohio</v>
      </c>
      <c r="BP83" s="3" t="str">
        <f>AE83</f>
        <v>Educational Service Center of Central Ohio</v>
      </c>
      <c r="BQ83" s="16" t="b">
        <f>BO83=BP83</f>
        <v>1</v>
      </c>
      <c r="BS83" s="3" t="str">
        <f>C83</f>
        <v>Franklin</v>
      </c>
      <c r="BT83" s="3" t="b">
        <f>C83=AG83</f>
        <v>1</v>
      </c>
    </row>
    <row r="84" spans="1:72" s="72" customFormat="1" hidden="1">
      <c r="A84" s="66" t="s">
        <v>292</v>
      </c>
      <c r="B84" s="66"/>
      <c r="C84" s="66" t="s">
        <v>163</v>
      </c>
      <c r="E84" s="66">
        <v>125690</v>
      </c>
      <c r="G84" s="65"/>
      <c r="H84" s="65"/>
      <c r="I84" s="65"/>
      <c r="J84" s="65"/>
      <c r="K84" s="65"/>
      <c r="L84" s="65"/>
      <c r="M84" s="80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6" t="s">
        <v>292</v>
      </c>
      <c r="AF84" s="66"/>
      <c r="AG84" s="66" t="s">
        <v>163</v>
      </c>
      <c r="AH84" s="66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>
        <f t="shared" si="13"/>
        <v>0</v>
      </c>
      <c r="BD84" s="65"/>
      <c r="BE84" s="65">
        <f>+'St of Act-Rev'!AG84-BC84</f>
        <v>0</v>
      </c>
      <c r="BF84" s="65"/>
      <c r="BG84" s="65"/>
      <c r="BH84" s="65"/>
      <c r="BI84" s="65">
        <f t="shared" si="14"/>
        <v>0</v>
      </c>
      <c r="BJ84" s="65"/>
      <c r="BK84" s="65">
        <f>+'St of Net Assets'!AA84-BI84</f>
        <v>0</v>
      </c>
      <c r="BL84" s="74"/>
      <c r="BM84" s="74"/>
      <c r="BN84" s="66" t="s">
        <v>318</v>
      </c>
      <c r="BO84" s="65" t="str">
        <f t="shared" si="18"/>
        <v>Erie-Huron-Ottawa Educ Srv Ctr-now North Point ESC</v>
      </c>
      <c r="BP84" s="65" t="str">
        <f t="shared" si="15"/>
        <v>Erie-Huron-Ottawa Educ Srv Ctr-now North Point ESC</v>
      </c>
      <c r="BQ84" s="66" t="b">
        <f t="shared" si="10"/>
        <v>1</v>
      </c>
      <c r="BS84" s="65" t="str">
        <f t="shared" si="16"/>
        <v>Erie</v>
      </c>
      <c r="BT84" s="65" t="b">
        <f t="shared" si="17"/>
        <v>1</v>
      </c>
    </row>
    <row r="85" spans="1:72">
      <c r="A85" s="3" t="s">
        <v>385</v>
      </c>
      <c r="B85" s="16"/>
      <c r="C85" s="16" t="s">
        <v>164</v>
      </c>
      <c r="E85" s="16">
        <v>46839</v>
      </c>
      <c r="G85" s="3">
        <v>295405</v>
      </c>
      <c r="H85" s="3"/>
      <c r="I85" s="3">
        <v>1254834</v>
      </c>
      <c r="J85" s="3"/>
      <c r="K85" s="3">
        <v>0</v>
      </c>
      <c r="L85" s="3"/>
      <c r="M85" s="32">
        <v>0</v>
      </c>
      <c r="N85" s="3"/>
      <c r="O85" s="3">
        <v>70843</v>
      </c>
      <c r="P85" s="3"/>
      <c r="Q85" s="3">
        <v>2147253</v>
      </c>
      <c r="R85" s="3"/>
      <c r="S85" s="3">
        <v>2767370</v>
      </c>
      <c r="T85" s="3"/>
      <c r="U85" s="3">
        <v>34759</v>
      </c>
      <c r="V85" s="3"/>
      <c r="W85" s="3">
        <v>1526801</v>
      </c>
      <c r="X85" s="3"/>
      <c r="Y85" s="3">
        <v>225482</v>
      </c>
      <c r="Z85" s="3"/>
      <c r="AA85" s="3">
        <v>0</v>
      </c>
      <c r="AB85" s="3"/>
      <c r="AC85" s="3">
        <v>51985</v>
      </c>
      <c r="AD85" s="3"/>
      <c r="AE85" s="3" t="s">
        <v>385</v>
      </c>
      <c r="AF85" s="16"/>
      <c r="AG85" s="16" t="s">
        <v>164</v>
      </c>
      <c r="AH85" s="16"/>
      <c r="AI85" s="3">
        <v>0</v>
      </c>
      <c r="AJ85" s="3"/>
      <c r="AK85" s="3">
        <v>77745</v>
      </c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v>0</v>
      </c>
      <c r="AT85" s="3"/>
      <c r="AU85" s="3">
        <v>2064</v>
      </c>
      <c r="AV85" s="3"/>
      <c r="AW85" s="3">
        <v>0</v>
      </c>
      <c r="AX85" s="3"/>
      <c r="AY85" s="3"/>
      <c r="AZ85" s="3"/>
      <c r="BA85" s="3">
        <v>0</v>
      </c>
      <c r="BB85" s="3"/>
      <c r="BC85" s="3">
        <f>SUM(G85:BB85)</f>
        <v>8454541</v>
      </c>
      <c r="BD85" s="3"/>
      <c r="BE85" s="3">
        <f>+'St of Act-Rev'!AG85-BC85</f>
        <v>-137081</v>
      </c>
      <c r="BF85" s="3"/>
      <c r="BG85" s="3">
        <v>725602</v>
      </c>
      <c r="BH85" s="3"/>
      <c r="BI85" s="3">
        <f>+BE85+BG85</f>
        <v>588521</v>
      </c>
      <c r="BJ85" s="3"/>
      <c r="BK85" s="3">
        <f>+'St of Net Assets'!AA85-BI85</f>
        <v>0</v>
      </c>
      <c r="BN85" s="16"/>
      <c r="BO85" s="3" t="str">
        <f t="shared" si="18"/>
        <v>Fairfield County Educ Srv Ctr</v>
      </c>
      <c r="BP85" s="3" t="str">
        <f t="shared" si="15"/>
        <v>Fairfield County Educ Srv Ctr</v>
      </c>
      <c r="BQ85" s="16" t="b">
        <f t="shared" si="10"/>
        <v>1</v>
      </c>
      <c r="BS85" s="3" t="str">
        <f t="shared" si="16"/>
        <v>Fairfield</v>
      </c>
      <c r="BT85" s="3" t="b">
        <f t="shared" si="17"/>
        <v>1</v>
      </c>
    </row>
    <row r="86" spans="1:72">
      <c r="A86" s="3" t="s">
        <v>167</v>
      </c>
      <c r="B86" s="16"/>
      <c r="C86" s="16" t="s">
        <v>168</v>
      </c>
      <c r="E86" s="16">
        <v>125682</v>
      </c>
      <c r="G86" s="3">
        <v>972453</v>
      </c>
      <c r="H86" s="3"/>
      <c r="I86" s="3">
        <v>135</v>
      </c>
      <c r="J86" s="3"/>
      <c r="K86" s="3">
        <v>0</v>
      </c>
      <c r="L86" s="3"/>
      <c r="M86" s="32">
        <v>0</v>
      </c>
      <c r="N86" s="3"/>
      <c r="O86" s="3">
        <v>0</v>
      </c>
      <c r="P86" s="3"/>
      <c r="Q86" s="3">
        <v>286273</v>
      </c>
      <c r="R86" s="3"/>
      <c r="S86" s="3">
        <v>1058566</v>
      </c>
      <c r="T86" s="3"/>
      <c r="U86" s="3">
        <v>28906</v>
      </c>
      <c r="V86" s="3"/>
      <c r="W86" s="3">
        <v>883185</v>
      </c>
      <c r="X86" s="3"/>
      <c r="Y86" s="3">
        <v>115701</v>
      </c>
      <c r="Z86" s="3"/>
      <c r="AA86" s="3">
        <v>0</v>
      </c>
      <c r="AB86" s="3"/>
      <c r="AC86" s="3">
        <v>26015</v>
      </c>
      <c r="AD86" s="3"/>
      <c r="AE86" s="3" t="s">
        <v>167</v>
      </c>
      <c r="AF86" s="16"/>
      <c r="AG86" s="16" t="s">
        <v>168</v>
      </c>
      <c r="AH86" s="16"/>
      <c r="AI86" s="3">
        <v>356527</v>
      </c>
      <c r="AJ86" s="3"/>
      <c r="AK86" s="3">
        <v>51295</v>
      </c>
      <c r="AL86" s="3"/>
      <c r="AM86" s="3">
        <v>0</v>
      </c>
      <c r="AN86" s="3"/>
      <c r="AO86" s="3">
        <v>0</v>
      </c>
      <c r="AP86" s="3"/>
      <c r="AQ86" s="3">
        <v>28140</v>
      </c>
      <c r="AR86" s="3"/>
      <c r="AS86" s="3">
        <v>0</v>
      </c>
      <c r="AT86" s="3"/>
      <c r="AU86" s="3">
        <v>0</v>
      </c>
      <c r="AV86" s="3"/>
      <c r="AW86" s="3">
        <v>0</v>
      </c>
      <c r="AX86" s="3"/>
      <c r="AY86" s="3"/>
      <c r="AZ86" s="3"/>
      <c r="BA86" s="3">
        <v>0</v>
      </c>
      <c r="BB86" s="3"/>
      <c r="BC86" s="3">
        <f t="shared" si="13"/>
        <v>3807196</v>
      </c>
      <c r="BD86" s="3"/>
      <c r="BE86" s="3">
        <f>+'St of Act-Rev'!AG86-BC86</f>
        <v>421477</v>
      </c>
      <c r="BF86" s="3"/>
      <c r="BG86" s="3">
        <v>872372</v>
      </c>
      <c r="BH86" s="3"/>
      <c r="BI86" s="3">
        <f t="shared" si="14"/>
        <v>1293849</v>
      </c>
      <c r="BJ86" s="3"/>
      <c r="BK86" s="3">
        <f>+'St of Net Assets'!AA86-BI86</f>
        <v>0</v>
      </c>
      <c r="BN86" s="3"/>
      <c r="BO86" s="3" t="str">
        <f t="shared" si="18"/>
        <v>Gallia-Vinton Educ Srv Ctr</v>
      </c>
      <c r="BP86" s="3" t="str">
        <f t="shared" si="15"/>
        <v>Gallia-Vinton Educ Srv Ctr</v>
      </c>
      <c r="BQ86" s="16" t="b">
        <f t="shared" si="10"/>
        <v>1</v>
      </c>
      <c r="BS86" s="3" t="str">
        <f t="shared" si="16"/>
        <v>Gallia</v>
      </c>
      <c r="BT86" s="3" t="b">
        <f t="shared" si="17"/>
        <v>1</v>
      </c>
    </row>
    <row r="87" spans="1:72">
      <c r="A87" s="88" t="s">
        <v>384</v>
      </c>
      <c r="B87" s="16"/>
      <c r="C87" s="16" t="s">
        <v>169</v>
      </c>
      <c r="E87" s="16">
        <v>47159</v>
      </c>
      <c r="G87" s="3">
        <v>158644</v>
      </c>
      <c r="H87" s="3"/>
      <c r="I87" s="3">
        <v>3170085</v>
      </c>
      <c r="J87" s="3"/>
      <c r="K87" s="3">
        <v>262354</v>
      </c>
      <c r="L87" s="3"/>
      <c r="M87" s="32">
        <v>3450</v>
      </c>
      <c r="N87" s="3"/>
      <c r="O87" s="3">
        <v>0</v>
      </c>
      <c r="P87" s="3"/>
      <c r="Q87" s="3">
        <v>3540186</v>
      </c>
      <c r="R87" s="3"/>
      <c r="S87" s="3">
        <v>2111878</v>
      </c>
      <c r="T87" s="3"/>
      <c r="U87" s="3">
        <v>26420</v>
      </c>
      <c r="V87" s="3"/>
      <c r="W87" s="3">
        <v>1309390</v>
      </c>
      <c r="X87" s="3"/>
      <c r="Y87" s="3">
        <v>251457</v>
      </c>
      <c r="Z87" s="3"/>
      <c r="AA87" s="3">
        <v>24283</v>
      </c>
      <c r="AB87" s="3"/>
      <c r="AC87" s="3">
        <v>90257</v>
      </c>
      <c r="AD87" s="3"/>
      <c r="AE87" s="88" t="s">
        <v>384</v>
      </c>
      <c r="AF87" s="16"/>
      <c r="AG87" s="16" t="s">
        <v>169</v>
      </c>
      <c r="AH87" s="16"/>
      <c r="AI87" s="3">
        <v>3912</v>
      </c>
      <c r="AJ87" s="3"/>
      <c r="AK87" s="3">
        <v>198611</v>
      </c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v>0</v>
      </c>
      <c r="AV87" s="3"/>
      <c r="AW87" s="3">
        <v>0</v>
      </c>
      <c r="AX87" s="3"/>
      <c r="AY87" s="3"/>
      <c r="AZ87" s="3"/>
      <c r="BA87" s="3">
        <v>0</v>
      </c>
      <c r="BB87" s="3"/>
      <c r="BC87" s="3">
        <f t="shared" si="13"/>
        <v>11150927</v>
      </c>
      <c r="BD87" s="3"/>
      <c r="BE87" s="3">
        <f>+'St of Act-Rev'!AG87-BC87</f>
        <v>79744</v>
      </c>
      <c r="BF87" s="3"/>
      <c r="BG87" s="3">
        <v>808903</v>
      </c>
      <c r="BH87" s="3"/>
      <c r="BI87" s="3">
        <f t="shared" si="14"/>
        <v>888647</v>
      </c>
      <c r="BJ87" s="3"/>
      <c r="BK87" s="3">
        <f>+'St of Net Assets'!AA87-BI87</f>
        <v>0</v>
      </c>
      <c r="BN87" s="89"/>
      <c r="BO87" s="3" t="str">
        <f t="shared" si="18"/>
        <v>Geauga County Educ Srv Ctr</v>
      </c>
      <c r="BP87" s="3" t="str">
        <f t="shared" si="15"/>
        <v>Geauga County Educ Srv Ctr</v>
      </c>
      <c r="BQ87" s="16" t="b">
        <f t="shared" si="10"/>
        <v>1</v>
      </c>
      <c r="BS87" s="3" t="str">
        <f t="shared" si="16"/>
        <v>Geauga</v>
      </c>
      <c r="BT87" s="3" t="b">
        <f t="shared" si="17"/>
        <v>1</v>
      </c>
    </row>
    <row r="88" spans="1:72">
      <c r="A88" s="16" t="s">
        <v>328</v>
      </c>
      <c r="B88" s="16"/>
      <c r="C88" s="16" t="s">
        <v>170</v>
      </c>
      <c r="E88" s="16">
        <v>47233</v>
      </c>
      <c r="G88" s="3">
        <v>761679</v>
      </c>
      <c r="H88" s="3"/>
      <c r="I88" s="3">
        <v>3409241</v>
      </c>
      <c r="J88" s="3"/>
      <c r="K88" s="3">
        <v>0</v>
      </c>
      <c r="L88" s="3"/>
      <c r="M88" s="32">
        <v>0</v>
      </c>
      <c r="N88" s="3"/>
      <c r="O88" s="3">
        <v>0</v>
      </c>
      <c r="P88" s="3"/>
      <c r="Q88" s="3">
        <v>6326836</v>
      </c>
      <c r="R88" s="3"/>
      <c r="S88" s="3">
        <v>2220793</v>
      </c>
      <c r="T88" s="3"/>
      <c r="U88" s="3">
        <v>25634</v>
      </c>
      <c r="V88" s="3"/>
      <c r="W88" s="3">
        <v>285618</v>
      </c>
      <c r="X88" s="3"/>
      <c r="Y88" s="3">
        <v>267643</v>
      </c>
      <c r="Z88" s="3"/>
      <c r="AA88" s="3">
        <v>47161</v>
      </c>
      <c r="AB88" s="3"/>
      <c r="AC88" s="3">
        <v>201274</v>
      </c>
      <c r="AD88" s="3"/>
      <c r="AE88" s="16" t="s">
        <v>328</v>
      </c>
      <c r="AF88" s="16"/>
      <c r="AG88" s="16" t="s">
        <v>170</v>
      </c>
      <c r="AH88" s="16"/>
      <c r="AI88" s="3">
        <v>0</v>
      </c>
      <c r="AJ88" s="3"/>
      <c r="AK88" s="3">
        <v>13445</v>
      </c>
      <c r="AL88" s="3"/>
      <c r="AM88" s="3">
        <v>0</v>
      </c>
      <c r="AN88" s="3"/>
      <c r="AO88" s="3">
        <v>0</v>
      </c>
      <c r="AP88" s="3"/>
      <c r="AQ88" s="3">
        <v>4155</v>
      </c>
      <c r="AR88" s="3"/>
      <c r="AS88" s="3">
        <v>0</v>
      </c>
      <c r="AT88" s="3"/>
      <c r="AU88" s="3">
        <v>4985</v>
      </c>
      <c r="AV88" s="3"/>
      <c r="AW88" s="3">
        <v>0</v>
      </c>
      <c r="AX88" s="3"/>
      <c r="AY88" s="3"/>
      <c r="AZ88" s="3"/>
      <c r="BA88" s="3">
        <v>226876</v>
      </c>
      <c r="BB88" s="3"/>
      <c r="BC88" s="3">
        <f t="shared" si="13"/>
        <v>13795340</v>
      </c>
      <c r="BD88" s="3"/>
      <c r="BE88" s="3">
        <f>+'St of Act-Rev'!AG88-BC88</f>
        <v>250142</v>
      </c>
      <c r="BF88" s="3"/>
      <c r="BG88" s="3">
        <v>1564907</v>
      </c>
      <c r="BH88" s="3"/>
      <c r="BI88" s="3">
        <f t="shared" si="14"/>
        <v>1815049</v>
      </c>
      <c r="BJ88" s="3"/>
      <c r="BK88" s="3">
        <f>+'St of Net Assets'!AA88-BI88</f>
        <v>0</v>
      </c>
      <c r="BN88" s="3"/>
      <c r="BO88" s="3" t="str">
        <f t="shared" si="18"/>
        <v>Greene County Educ Srv Ctr</v>
      </c>
      <c r="BP88" s="3" t="str">
        <f t="shared" si="15"/>
        <v>Greene County Educ Srv Ctr</v>
      </c>
      <c r="BQ88" s="16" t="b">
        <f t="shared" si="10"/>
        <v>1</v>
      </c>
      <c r="BS88" s="3" t="str">
        <f t="shared" si="16"/>
        <v>Greene</v>
      </c>
      <c r="BT88" s="3" t="b">
        <f t="shared" si="17"/>
        <v>1</v>
      </c>
    </row>
    <row r="89" spans="1:72">
      <c r="A89" s="16" t="s">
        <v>329</v>
      </c>
      <c r="B89" s="16"/>
      <c r="C89" s="16" t="s">
        <v>171</v>
      </c>
      <c r="E89" s="16">
        <v>47324</v>
      </c>
      <c r="G89" s="3">
        <v>19187</v>
      </c>
      <c r="H89" s="3"/>
      <c r="I89" s="3">
        <v>7990320</v>
      </c>
      <c r="J89" s="3"/>
      <c r="K89" s="3">
        <v>65373</v>
      </c>
      <c r="L89" s="3"/>
      <c r="M89" s="32">
        <v>0</v>
      </c>
      <c r="N89" s="3"/>
      <c r="O89" s="3">
        <v>11982</v>
      </c>
      <c r="P89" s="3"/>
      <c r="Q89" s="3">
        <v>7657391</v>
      </c>
      <c r="R89" s="3"/>
      <c r="S89" s="3">
        <v>7737814</v>
      </c>
      <c r="T89" s="3"/>
      <c r="U89" s="3">
        <v>79348</v>
      </c>
      <c r="V89" s="3"/>
      <c r="W89" s="3">
        <v>4377049</v>
      </c>
      <c r="X89" s="3"/>
      <c r="Y89" s="3">
        <v>927801</v>
      </c>
      <c r="Z89" s="3"/>
      <c r="AA89" s="3">
        <v>414670</v>
      </c>
      <c r="AB89" s="3"/>
      <c r="AC89" s="3">
        <v>497431</v>
      </c>
      <c r="AD89" s="3"/>
      <c r="AE89" s="16" t="s">
        <v>329</v>
      </c>
      <c r="AF89" s="16"/>
      <c r="AG89" s="16" t="s">
        <v>171</v>
      </c>
      <c r="AH89" s="16"/>
      <c r="AI89" s="3">
        <v>0</v>
      </c>
      <c r="AJ89" s="3"/>
      <c r="AK89" s="3">
        <v>700574</v>
      </c>
      <c r="AL89" s="3"/>
      <c r="AM89" s="3">
        <v>0</v>
      </c>
      <c r="AN89" s="3"/>
      <c r="AO89" s="3">
        <v>0</v>
      </c>
      <c r="AP89" s="3"/>
      <c r="AQ89" s="3">
        <v>11493275</v>
      </c>
      <c r="AR89" s="3"/>
      <c r="AS89" s="3">
        <v>0</v>
      </c>
      <c r="AT89" s="3"/>
      <c r="AU89" s="3">
        <v>105798</v>
      </c>
      <c r="AV89" s="3"/>
      <c r="AW89" s="3">
        <v>0</v>
      </c>
      <c r="AX89" s="3"/>
      <c r="AY89" s="3"/>
      <c r="AZ89" s="3"/>
      <c r="BA89" s="3">
        <v>0</v>
      </c>
      <c r="BB89" s="3"/>
      <c r="BC89" s="3">
        <f t="shared" si="13"/>
        <v>42078013</v>
      </c>
      <c r="BD89" s="3"/>
      <c r="BE89" s="3">
        <f>+'St of Act-Rev'!AG89-BC89</f>
        <v>-1051895</v>
      </c>
      <c r="BF89" s="3"/>
      <c r="BG89" s="3">
        <v>8244586</v>
      </c>
      <c r="BH89" s="3"/>
      <c r="BI89" s="3">
        <f t="shared" si="14"/>
        <v>7192691</v>
      </c>
      <c r="BJ89" s="3"/>
      <c r="BK89" s="3">
        <f>+'St of Net Assets'!AA89-BI89</f>
        <v>0</v>
      </c>
      <c r="BN89" s="3"/>
      <c r="BO89" s="3" t="str">
        <f t="shared" si="18"/>
        <v>Hamilton County Educ Srv Ctr</v>
      </c>
      <c r="BP89" s="3" t="str">
        <f t="shared" si="15"/>
        <v>Hamilton County Educ Srv Ctr</v>
      </c>
      <c r="BQ89" s="16" t="b">
        <f t="shared" si="10"/>
        <v>1</v>
      </c>
      <c r="BS89" s="3" t="str">
        <f t="shared" si="16"/>
        <v>Hamilton</v>
      </c>
      <c r="BT89" s="3" t="b">
        <f t="shared" si="17"/>
        <v>1</v>
      </c>
    </row>
    <row r="90" spans="1:72">
      <c r="A90" s="16" t="s">
        <v>330</v>
      </c>
      <c r="B90" s="16"/>
      <c r="C90" s="16" t="s">
        <v>172</v>
      </c>
      <c r="E90" s="16">
        <v>47407</v>
      </c>
      <c r="G90" s="3">
        <v>111298</v>
      </c>
      <c r="H90" s="3"/>
      <c r="I90" s="3">
        <v>1284276</v>
      </c>
      <c r="J90" s="3"/>
      <c r="K90" s="3">
        <v>0</v>
      </c>
      <c r="L90" s="3"/>
      <c r="M90" s="32">
        <v>0</v>
      </c>
      <c r="N90" s="3"/>
      <c r="O90" s="3">
        <v>0</v>
      </c>
      <c r="P90" s="3"/>
      <c r="Q90" s="3">
        <v>1149777</v>
      </c>
      <c r="R90" s="3"/>
      <c r="S90" s="3">
        <v>1702017</v>
      </c>
      <c r="T90" s="3"/>
      <c r="U90" s="3">
        <v>42012</v>
      </c>
      <c r="V90" s="3"/>
      <c r="W90" s="3">
        <v>647951</v>
      </c>
      <c r="X90" s="3"/>
      <c r="Y90" s="3">
        <v>242768</v>
      </c>
      <c r="Z90" s="3"/>
      <c r="AA90" s="3">
        <v>0</v>
      </c>
      <c r="AB90" s="3"/>
      <c r="AC90" s="3">
        <v>50983</v>
      </c>
      <c r="AD90" s="3"/>
      <c r="AE90" s="16" t="s">
        <v>330</v>
      </c>
      <c r="AF90" s="16"/>
      <c r="AG90" s="16" t="s">
        <v>172</v>
      </c>
      <c r="AH90" s="16"/>
      <c r="AI90" s="3">
        <v>93373</v>
      </c>
      <c r="AJ90" s="3"/>
      <c r="AK90" s="3">
        <v>14509</v>
      </c>
      <c r="AL90" s="3"/>
      <c r="AM90" s="3">
        <v>0</v>
      </c>
      <c r="AN90" s="3"/>
      <c r="AO90" s="3">
        <v>0</v>
      </c>
      <c r="AP90" s="3"/>
      <c r="AQ90" s="3">
        <v>4650</v>
      </c>
      <c r="AR90" s="3"/>
      <c r="AS90" s="3">
        <v>1125</v>
      </c>
      <c r="AT90" s="3"/>
      <c r="AU90" s="3">
        <v>0</v>
      </c>
      <c r="AV90" s="3"/>
      <c r="AW90" s="3">
        <v>0</v>
      </c>
      <c r="AX90" s="3"/>
      <c r="AY90" s="3"/>
      <c r="AZ90" s="3"/>
      <c r="BA90" s="3">
        <v>0</v>
      </c>
      <c r="BB90" s="3"/>
      <c r="BC90" s="3">
        <f t="shared" si="13"/>
        <v>5344739</v>
      </c>
      <c r="BD90" s="3"/>
      <c r="BE90" s="3">
        <f>+'St of Act-Rev'!AG90-BC90</f>
        <v>19857</v>
      </c>
      <c r="BF90" s="3"/>
      <c r="BG90" s="3">
        <v>-11940</v>
      </c>
      <c r="BH90" s="3"/>
      <c r="BI90" s="3">
        <f t="shared" si="14"/>
        <v>7917</v>
      </c>
      <c r="BJ90" s="3"/>
      <c r="BK90" s="3">
        <f>+'St of Net Assets'!AA90-BI90</f>
        <v>0</v>
      </c>
      <c r="BN90" s="3"/>
      <c r="BO90" s="3" t="str">
        <f t="shared" si="18"/>
        <v>Hancock County Educ Srv Ctr</v>
      </c>
      <c r="BP90" s="3" t="str">
        <f t="shared" si="15"/>
        <v>Hancock County Educ Srv Ctr</v>
      </c>
      <c r="BQ90" s="16" t="b">
        <f t="shared" si="10"/>
        <v>1</v>
      </c>
      <c r="BS90" s="3" t="str">
        <f t="shared" si="16"/>
        <v>Hancock</v>
      </c>
      <c r="BT90" s="3" t="b">
        <f t="shared" si="17"/>
        <v>1</v>
      </c>
    </row>
    <row r="91" spans="1:72">
      <c r="A91" s="16" t="s">
        <v>331</v>
      </c>
      <c r="B91" s="16"/>
      <c r="C91" s="16" t="s">
        <v>21</v>
      </c>
      <c r="E91" s="16">
        <v>47480</v>
      </c>
      <c r="G91" s="3">
        <v>103273</v>
      </c>
      <c r="H91" s="3"/>
      <c r="I91" s="3">
        <v>642471</v>
      </c>
      <c r="J91" s="3"/>
      <c r="K91" s="3">
        <v>0</v>
      </c>
      <c r="L91" s="3"/>
      <c r="M91" s="32">
        <v>0</v>
      </c>
      <c r="N91" s="3"/>
      <c r="O91" s="3">
        <v>0</v>
      </c>
      <c r="P91" s="3"/>
      <c r="Q91" s="3">
        <v>1058298</v>
      </c>
      <c r="R91" s="3"/>
      <c r="S91" s="3">
        <v>125341</v>
      </c>
      <c r="T91" s="3"/>
      <c r="U91" s="3">
        <v>14548</v>
      </c>
      <c r="V91" s="3"/>
      <c r="W91" s="3">
        <v>222829</v>
      </c>
      <c r="X91" s="3"/>
      <c r="Y91" s="3">
        <v>167713</v>
      </c>
      <c r="Z91" s="3"/>
      <c r="AA91" s="3">
        <v>0</v>
      </c>
      <c r="AB91" s="3"/>
      <c r="AC91" s="3">
        <v>12513</v>
      </c>
      <c r="AD91" s="3"/>
      <c r="AE91" s="16" t="s">
        <v>331</v>
      </c>
      <c r="AF91" s="16"/>
      <c r="AG91" s="16" t="s">
        <v>21</v>
      </c>
      <c r="AH91" s="16"/>
      <c r="AI91" s="3">
        <v>1098</v>
      </c>
      <c r="AJ91" s="3"/>
      <c r="AK91" s="3">
        <v>109435</v>
      </c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v>1595</v>
      </c>
      <c r="AT91" s="3"/>
      <c r="AU91" s="3">
        <v>0</v>
      </c>
      <c r="AV91" s="3"/>
      <c r="AW91" s="3">
        <v>0</v>
      </c>
      <c r="AX91" s="3"/>
      <c r="AY91" s="3"/>
      <c r="AZ91" s="3"/>
      <c r="BA91" s="3">
        <v>578279</v>
      </c>
      <c r="BB91" s="3"/>
      <c r="BC91" s="3">
        <f t="shared" si="13"/>
        <v>3037393</v>
      </c>
      <c r="BD91" s="3"/>
      <c r="BE91" s="3">
        <f>+'St of Act-Rev'!AG91-BC91</f>
        <v>-334910</v>
      </c>
      <c r="BF91" s="3"/>
      <c r="BG91" s="3">
        <v>1398962</v>
      </c>
      <c r="BH91" s="3"/>
      <c r="BI91" s="3">
        <f t="shared" si="14"/>
        <v>1064052</v>
      </c>
      <c r="BJ91" s="3"/>
      <c r="BK91" s="3">
        <f>+'St of Net Assets'!AA91-BI91</f>
        <v>0</v>
      </c>
      <c r="BN91" s="3"/>
      <c r="BO91" s="3" t="str">
        <f t="shared" si="18"/>
        <v>Hardin County Educ Srv Ctr</v>
      </c>
      <c r="BP91" s="3" t="str">
        <f t="shared" si="15"/>
        <v>Hardin County Educ Srv Ctr</v>
      </c>
      <c r="BQ91" s="16" t="b">
        <f t="shared" si="10"/>
        <v>1</v>
      </c>
      <c r="BS91" s="3" t="str">
        <f t="shared" si="16"/>
        <v>Hardin</v>
      </c>
      <c r="BT91" s="3" t="b">
        <f t="shared" si="17"/>
        <v>1</v>
      </c>
    </row>
    <row r="92" spans="1:72">
      <c r="A92" s="16" t="s">
        <v>332</v>
      </c>
      <c r="B92" s="16"/>
      <c r="C92" s="16" t="s">
        <v>173</v>
      </c>
      <c r="E92" s="16">
        <v>47779</v>
      </c>
      <c r="G92" s="3">
        <v>1338857</v>
      </c>
      <c r="H92" s="3"/>
      <c r="I92" s="3">
        <v>444053</v>
      </c>
      <c r="J92" s="3"/>
      <c r="K92" s="3">
        <v>0</v>
      </c>
      <c r="L92" s="3"/>
      <c r="M92" s="32">
        <v>0</v>
      </c>
      <c r="N92" s="3"/>
      <c r="O92" s="3">
        <v>6400</v>
      </c>
      <c r="P92" s="3"/>
      <c r="Q92" s="3">
        <v>1128333</v>
      </c>
      <c r="R92" s="3"/>
      <c r="S92" s="3">
        <v>1969656</v>
      </c>
      <c r="T92" s="3"/>
      <c r="U92" s="3">
        <v>16270</v>
      </c>
      <c r="V92" s="3"/>
      <c r="W92" s="3">
        <v>1141671</v>
      </c>
      <c r="X92" s="3"/>
      <c r="Y92" s="3">
        <v>255717</v>
      </c>
      <c r="Z92" s="3"/>
      <c r="AA92" s="3">
        <v>0</v>
      </c>
      <c r="AB92" s="3"/>
      <c r="AC92" s="3">
        <v>21070</v>
      </c>
      <c r="AD92" s="3"/>
      <c r="AE92" s="16" t="s">
        <v>332</v>
      </c>
      <c r="AF92" s="16"/>
      <c r="AG92" s="16" t="s">
        <v>173</v>
      </c>
      <c r="AH92" s="16"/>
      <c r="AI92" s="3">
        <v>0</v>
      </c>
      <c r="AJ92" s="3"/>
      <c r="AK92" s="3">
        <v>97606</v>
      </c>
      <c r="AL92" s="3"/>
      <c r="AM92" s="3"/>
      <c r="AN92" s="3"/>
      <c r="AO92" s="3">
        <v>0</v>
      </c>
      <c r="AP92" s="3"/>
      <c r="AQ92" s="3">
        <v>0</v>
      </c>
      <c r="AR92" s="3"/>
      <c r="AS92" s="3">
        <v>0</v>
      </c>
      <c r="AT92" s="3"/>
      <c r="AU92" s="3">
        <v>858</v>
      </c>
      <c r="AV92" s="3"/>
      <c r="AW92" s="3">
        <v>0</v>
      </c>
      <c r="AX92" s="3"/>
      <c r="AY92" s="3"/>
      <c r="AZ92" s="3"/>
      <c r="BA92" s="3">
        <v>0</v>
      </c>
      <c r="BB92" s="3"/>
      <c r="BC92" s="3">
        <f t="shared" si="13"/>
        <v>6420491</v>
      </c>
      <c r="BD92" s="3"/>
      <c r="BE92" s="3">
        <f>+'St of Act-Rev'!AG92-BC92</f>
        <v>330239</v>
      </c>
      <c r="BF92" s="3"/>
      <c r="BG92" s="3">
        <v>3558745</v>
      </c>
      <c r="BH92" s="3"/>
      <c r="BI92" s="3">
        <f t="shared" si="14"/>
        <v>3888984</v>
      </c>
      <c r="BJ92" s="3"/>
      <c r="BK92" s="3">
        <f>+'St of Net Assets'!AA92-BI92</f>
        <v>0</v>
      </c>
      <c r="BN92" s="3"/>
      <c r="BO92" s="3" t="str">
        <f t="shared" si="18"/>
        <v>Jefferson County Educ Srv Ctr</v>
      </c>
      <c r="BP92" s="3" t="str">
        <f t="shared" si="15"/>
        <v>Jefferson County Educ Srv Ctr</v>
      </c>
      <c r="BQ92" s="16" t="b">
        <f t="shared" si="10"/>
        <v>1</v>
      </c>
      <c r="BS92" s="3" t="str">
        <f t="shared" si="16"/>
        <v>Jefferson</v>
      </c>
      <c r="BT92" s="3" t="b">
        <f t="shared" si="17"/>
        <v>1</v>
      </c>
    </row>
    <row r="93" spans="1:72">
      <c r="A93" s="16" t="s">
        <v>333</v>
      </c>
      <c r="B93" s="16"/>
      <c r="C93" s="16" t="s">
        <v>174</v>
      </c>
      <c r="E93" s="16">
        <v>47811</v>
      </c>
      <c r="G93" s="3">
        <v>132426</v>
      </c>
      <c r="H93" s="3"/>
      <c r="I93" s="3">
        <v>3587908</v>
      </c>
      <c r="J93" s="3"/>
      <c r="K93" s="3">
        <v>0</v>
      </c>
      <c r="L93" s="3"/>
      <c r="M93" s="32">
        <v>0</v>
      </c>
      <c r="N93" s="3"/>
      <c r="O93" s="3">
        <v>0</v>
      </c>
      <c r="P93" s="3"/>
      <c r="Q93" s="3">
        <v>582429</v>
      </c>
      <c r="R93" s="3"/>
      <c r="S93" s="3">
        <v>987214</v>
      </c>
      <c r="T93" s="3"/>
      <c r="U93" s="3">
        <v>25859</v>
      </c>
      <c r="V93" s="3"/>
      <c r="W93" s="3">
        <v>760001</v>
      </c>
      <c r="X93" s="3"/>
      <c r="Y93" s="3">
        <v>104865</v>
      </c>
      <c r="Z93" s="3"/>
      <c r="AA93" s="3">
        <v>0</v>
      </c>
      <c r="AB93" s="3"/>
      <c r="AC93" s="3">
        <v>81396</v>
      </c>
      <c r="AD93" s="3"/>
      <c r="AE93" s="16" t="s">
        <v>333</v>
      </c>
      <c r="AF93" s="16"/>
      <c r="AG93" s="16" t="s">
        <v>174</v>
      </c>
      <c r="AH93" s="16"/>
      <c r="AI93" s="3">
        <v>0</v>
      </c>
      <c r="AJ93" s="3"/>
      <c r="AK93" s="3">
        <v>2115</v>
      </c>
      <c r="AL93" s="3"/>
      <c r="AM93" s="3"/>
      <c r="AN93" s="3"/>
      <c r="AO93" s="3">
        <v>0</v>
      </c>
      <c r="AP93" s="3"/>
      <c r="AQ93" s="3">
        <v>0</v>
      </c>
      <c r="AR93" s="3"/>
      <c r="AS93" s="3">
        <v>9824</v>
      </c>
      <c r="AT93" s="3"/>
      <c r="AU93" s="3">
        <v>0</v>
      </c>
      <c r="AV93" s="3"/>
      <c r="AW93" s="3">
        <v>0</v>
      </c>
      <c r="AX93" s="3"/>
      <c r="AY93" s="3"/>
      <c r="AZ93" s="3"/>
      <c r="BA93" s="3">
        <v>0</v>
      </c>
      <c r="BB93" s="3"/>
      <c r="BC93" s="3">
        <f t="shared" si="13"/>
        <v>6274037</v>
      </c>
      <c r="BD93" s="3"/>
      <c r="BE93" s="3">
        <f>+'St of Act-Rev'!AG93-BC93</f>
        <v>-179898</v>
      </c>
      <c r="BF93" s="3"/>
      <c r="BG93" s="3">
        <v>-320157</v>
      </c>
      <c r="BH93" s="3"/>
      <c r="BI93" s="3">
        <f t="shared" si="14"/>
        <v>-500055</v>
      </c>
      <c r="BJ93" s="3"/>
      <c r="BK93" s="3">
        <f>+'St of Net Assets'!AA93-BI93</f>
        <v>0</v>
      </c>
      <c r="BN93" s="3"/>
      <c r="BO93" s="3" t="str">
        <f t="shared" si="18"/>
        <v>Knox County Educ Srv Ctr</v>
      </c>
      <c r="BP93" s="3" t="str">
        <f t="shared" si="15"/>
        <v>Knox County Educ Srv Ctr</v>
      </c>
      <c r="BQ93" s="16" t="b">
        <f t="shared" si="10"/>
        <v>1</v>
      </c>
      <c r="BS93" s="3" t="str">
        <f t="shared" si="16"/>
        <v>Knox</v>
      </c>
      <c r="BT93" s="3" t="b">
        <f t="shared" si="17"/>
        <v>1</v>
      </c>
    </row>
    <row r="94" spans="1:72">
      <c r="A94" s="16" t="s">
        <v>334</v>
      </c>
      <c r="B94" s="16"/>
      <c r="C94" s="16" t="s">
        <v>149</v>
      </c>
      <c r="E94" s="16">
        <v>47860</v>
      </c>
      <c r="G94" s="3">
        <v>423998</v>
      </c>
      <c r="H94" s="3"/>
      <c r="I94" s="3">
        <v>2741968</v>
      </c>
      <c r="J94" s="3"/>
      <c r="K94" s="3">
        <v>452430</v>
      </c>
      <c r="L94" s="3"/>
      <c r="M94" s="32">
        <v>0</v>
      </c>
      <c r="N94" s="3"/>
      <c r="O94" s="3">
        <v>120270</v>
      </c>
      <c r="P94" s="3"/>
      <c r="Q94" s="3">
        <v>3116886</v>
      </c>
      <c r="R94" s="3"/>
      <c r="S94" s="3">
        <v>2320723</v>
      </c>
      <c r="T94" s="3"/>
      <c r="U94" s="3">
        <v>7284553</v>
      </c>
      <c r="V94" s="3"/>
      <c r="W94" s="3">
        <v>1819455</v>
      </c>
      <c r="X94" s="3"/>
      <c r="Y94" s="3">
        <v>279136</v>
      </c>
      <c r="Z94" s="3"/>
      <c r="AA94" s="3">
        <v>0</v>
      </c>
      <c r="AB94" s="3"/>
      <c r="AC94" s="3">
        <v>118060</v>
      </c>
      <c r="AD94" s="3"/>
      <c r="AE94" s="16" t="s">
        <v>334</v>
      </c>
      <c r="AF94" s="16"/>
      <c r="AG94" s="16" t="s">
        <v>149</v>
      </c>
      <c r="AH94" s="16"/>
      <c r="AI94" s="3">
        <v>188135</v>
      </c>
      <c r="AJ94" s="3"/>
      <c r="AK94" s="3">
        <v>781710</v>
      </c>
      <c r="AL94" s="3"/>
      <c r="AM94" s="3"/>
      <c r="AN94" s="3"/>
      <c r="AO94" s="3">
        <v>0</v>
      </c>
      <c r="AP94" s="3"/>
      <c r="AQ94" s="3">
        <v>36234</v>
      </c>
      <c r="AR94" s="3"/>
      <c r="AS94" s="3">
        <v>0</v>
      </c>
      <c r="AT94" s="3"/>
      <c r="AU94" s="3">
        <v>0</v>
      </c>
      <c r="AV94" s="3"/>
      <c r="AW94" s="3">
        <v>0</v>
      </c>
      <c r="AX94" s="3"/>
      <c r="AY94" s="3"/>
      <c r="AZ94" s="3"/>
      <c r="BA94" s="3">
        <v>0</v>
      </c>
      <c r="BB94" s="3"/>
      <c r="BC94" s="3">
        <f t="shared" si="13"/>
        <v>19683558</v>
      </c>
      <c r="BD94" s="3"/>
      <c r="BE94" s="3">
        <f>+'St of Act-Rev'!AG94-BC94</f>
        <v>-284389</v>
      </c>
      <c r="BF94" s="3"/>
      <c r="BG94" s="3">
        <v>1731004</v>
      </c>
      <c r="BH94" s="3"/>
      <c r="BI94" s="3">
        <f t="shared" si="14"/>
        <v>1446615</v>
      </c>
      <c r="BJ94" s="3"/>
      <c r="BK94" s="3">
        <f>+'St of Net Assets'!AA94-BI94</f>
        <v>0</v>
      </c>
      <c r="BN94" s="16" t="s">
        <v>387</v>
      </c>
      <c r="BO94" s="3" t="str">
        <f t="shared" si="18"/>
        <v>Lake County Educ Srv Ctr</v>
      </c>
      <c r="BP94" s="3" t="str">
        <f t="shared" si="15"/>
        <v>Lake County Educ Srv Ctr</v>
      </c>
      <c r="BQ94" s="16" t="b">
        <f t="shared" si="10"/>
        <v>1</v>
      </c>
      <c r="BS94" s="3" t="str">
        <f t="shared" si="16"/>
        <v>Lake</v>
      </c>
      <c r="BT94" s="3" t="b">
        <f t="shared" si="17"/>
        <v>1</v>
      </c>
    </row>
    <row r="95" spans="1:72">
      <c r="A95" s="16" t="s">
        <v>335</v>
      </c>
      <c r="B95" s="16"/>
      <c r="C95" s="16" t="s">
        <v>175</v>
      </c>
      <c r="E95" s="16">
        <v>47910</v>
      </c>
      <c r="G95" s="3">
        <v>155934</v>
      </c>
      <c r="H95" s="3"/>
      <c r="I95" s="3">
        <v>20000</v>
      </c>
      <c r="J95" s="3"/>
      <c r="K95" s="3">
        <v>0</v>
      </c>
      <c r="L95" s="3"/>
      <c r="M95" s="32">
        <v>0</v>
      </c>
      <c r="N95" s="3"/>
      <c r="O95" s="3">
        <v>0</v>
      </c>
      <c r="P95" s="3"/>
      <c r="Q95" s="3">
        <v>420051</v>
      </c>
      <c r="R95" s="3"/>
      <c r="S95" s="3">
        <v>304640</v>
      </c>
      <c r="T95" s="3"/>
      <c r="U95" s="3">
        <v>53845</v>
      </c>
      <c r="V95" s="3"/>
      <c r="W95" s="3">
        <v>209504</v>
      </c>
      <c r="X95" s="3"/>
      <c r="Y95" s="3">
        <v>152592</v>
      </c>
      <c r="Z95" s="3"/>
      <c r="AA95" s="3">
        <v>0</v>
      </c>
      <c r="AB95" s="3"/>
      <c r="AC95" s="3">
        <v>23556</v>
      </c>
      <c r="AD95" s="3"/>
      <c r="AE95" s="16" t="s">
        <v>335</v>
      </c>
      <c r="AF95" s="16"/>
      <c r="AG95" s="16" t="s">
        <v>175</v>
      </c>
      <c r="AH95" s="16"/>
      <c r="AI95" s="3">
        <v>0</v>
      </c>
      <c r="AJ95" s="3"/>
      <c r="AK95" s="3">
        <v>159399</v>
      </c>
      <c r="AL95" s="3"/>
      <c r="AM95" s="3"/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>
        <v>0</v>
      </c>
      <c r="AX95" s="3"/>
      <c r="AY95" s="3"/>
      <c r="AZ95" s="3"/>
      <c r="BA95" s="3">
        <v>0</v>
      </c>
      <c r="BB95" s="3"/>
      <c r="BC95" s="3">
        <f t="shared" si="13"/>
        <v>1499521</v>
      </c>
      <c r="BD95" s="3"/>
      <c r="BE95" s="3">
        <f>+'St of Act-Rev'!AG95-BC95</f>
        <v>377278</v>
      </c>
      <c r="BF95" s="3"/>
      <c r="BG95" s="3">
        <v>164396</v>
      </c>
      <c r="BH95" s="3"/>
      <c r="BI95" s="3">
        <f t="shared" si="14"/>
        <v>541674</v>
      </c>
      <c r="BJ95" s="3"/>
      <c r="BK95" s="3">
        <f>+'St of Net Assets'!AA95-BI95</f>
        <v>0</v>
      </c>
      <c r="BN95" s="90" t="s">
        <v>320</v>
      </c>
      <c r="BO95" s="3" t="str">
        <f t="shared" si="18"/>
        <v>Lawrence County Educ Srv Ctr</v>
      </c>
      <c r="BP95" s="3" t="str">
        <f t="shared" si="15"/>
        <v>Lawrence County Educ Srv Ctr</v>
      </c>
      <c r="BQ95" s="16" t="b">
        <f t="shared" si="10"/>
        <v>1</v>
      </c>
      <c r="BS95" s="3" t="str">
        <f t="shared" si="16"/>
        <v>Lawrence</v>
      </c>
      <c r="BT95" s="3" t="b">
        <f t="shared" si="17"/>
        <v>1</v>
      </c>
    </row>
    <row r="96" spans="1:72">
      <c r="A96" s="3" t="s">
        <v>336</v>
      </c>
      <c r="B96" s="3"/>
      <c r="C96" s="3" t="s">
        <v>176</v>
      </c>
      <c r="E96" s="16"/>
      <c r="G96" s="3">
        <v>1000</v>
      </c>
      <c r="H96" s="3"/>
      <c r="I96" s="3">
        <v>2718365</v>
      </c>
      <c r="J96" s="3"/>
      <c r="K96" s="3">
        <v>0</v>
      </c>
      <c r="L96" s="3"/>
      <c r="M96" s="32">
        <v>0</v>
      </c>
      <c r="N96" s="3"/>
      <c r="O96" s="3">
        <v>0</v>
      </c>
      <c r="P96" s="3"/>
      <c r="Q96" s="3">
        <v>1715948</v>
      </c>
      <c r="R96" s="3"/>
      <c r="S96" s="3">
        <v>4648118</v>
      </c>
      <c r="T96" s="3"/>
      <c r="U96" s="3">
        <v>11603</v>
      </c>
      <c r="V96" s="3"/>
      <c r="W96" s="3">
        <v>874040</v>
      </c>
      <c r="X96" s="3"/>
      <c r="Y96" s="3">
        <v>274154</v>
      </c>
      <c r="Z96" s="3"/>
      <c r="AA96" s="3">
        <v>8181</v>
      </c>
      <c r="AB96" s="3"/>
      <c r="AC96" s="3">
        <v>86037</v>
      </c>
      <c r="AD96" s="3"/>
      <c r="AE96" s="3" t="s">
        <v>336</v>
      </c>
      <c r="AF96" s="3"/>
      <c r="AG96" s="3" t="s">
        <v>176</v>
      </c>
      <c r="AH96" s="3"/>
      <c r="AI96" s="3">
        <v>0</v>
      </c>
      <c r="AJ96" s="3"/>
      <c r="AK96" s="3">
        <v>443344</v>
      </c>
      <c r="AL96" s="3"/>
      <c r="AM96" s="3"/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6769</v>
      </c>
      <c r="AV96" s="3"/>
      <c r="AW96" s="3">
        <v>0</v>
      </c>
      <c r="AX96" s="3"/>
      <c r="AY96" s="3"/>
      <c r="AZ96" s="3"/>
      <c r="BA96" s="3">
        <v>132477</v>
      </c>
      <c r="BB96" s="3"/>
      <c r="BC96" s="3">
        <f t="shared" si="13"/>
        <v>10920036</v>
      </c>
      <c r="BD96" s="3"/>
      <c r="BE96" s="3">
        <f>+'St of Act-Rev'!AG96-BC96</f>
        <v>34061</v>
      </c>
      <c r="BF96" s="3"/>
      <c r="BG96" s="3">
        <v>1819792</v>
      </c>
      <c r="BH96" s="3"/>
      <c r="BI96" s="3">
        <f>+BE96+BG96</f>
        <v>1853853</v>
      </c>
      <c r="BJ96" s="3"/>
      <c r="BK96" s="3">
        <f>+'St of Net Assets'!AA96-BI96</f>
        <v>0</v>
      </c>
      <c r="BN96" s="3"/>
      <c r="BO96" s="3" t="str">
        <f t="shared" si="18"/>
        <v>Licking County Educ Srv Ctr</v>
      </c>
      <c r="BP96" s="3" t="str">
        <f t="shared" si="15"/>
        <v>Licking County Educ Srv Ctr</v>
      </c>
      <c r="BQ96" s="16" t="b">
        <f t="shared" si="10"/>
        <v>1</v>
      </c>
      <c r="BS96" s="3" t="str">
        <f t="shared" si="16"/>
        <v>Licking</v>
      </c>
      <c r="BT96" s="3" t="b">
        <f t="shared" si="17"/>
        <v>1</v>
      </c>
    </row>
    <row r="97" spans="1:72">
      <c r="A97" s="16" t="s">
        <v>337</v>
      </c>
      <c r="B97" s="16"/>
      <c r="C97" s="16" t="s">
        <v>177</v>
      </c>
      <c r="E97" s="16">
        <v>48058</v>
      </c>
      <c r="G97" s="3">
        <v>0</v>
      </c>
      <c r="H97" s="3"/>
      <c r="I97" s="3">
        <v>2251636</v>
      </c>
      <c r="J97" s="3"/>
      <c r="K97" s="3">
        <v>0</v>
      </c>
      <c r="L97" s="3"/>
      <c r="M97" s="32">
        <v>0</v>
      </c>
      <c r="N97" s="3"/>
      <c r="O97" s="3">
        <v>0</v>
      </c>
      <c r="P97" s="3"/>
      <c r="Q97" s="3">
        <v>500570</v>
      </c>
      <c r="R97" s="3"/>
      <c r="S97" s="3">
        <v>306250</v>
      </c>
      <c r="T97" s="3"/>
      <c r="U97" s="3">
        <v>12045</v>
      </c>
      <c r="V97" s="3"/>
      <c r="W97" s="3">
        <v>151749</v>
      </c>
      <c r="X97" s="3"/>
      <c r="Y97" s="3">
        <v>276621</v>
      </c>
      <c r="Z97" s="3"/>
      <c r="AA97" s="3">
        <v>0</v>
      </c>
      <c r="AB97" s="3"/>
      <c r="AC97" s="3">
        <v>9088</v>
      </c>
      <c r="AD97" s="3"/>
      <c r="AE97" s="16" t="s">
        <v>337</v>
      </c>
      <c r="AF97" s="16"/>
      <c r="AG97" s="16" t="s">
        <v>177</v>
      </c>
      <c r="AH97" s="16"/>
      <c r="AI97" s="3">
        <v>0</v>
      </c>
      <c r="AJ97" s="3"/>
      <c r="AK97" s="3">
        <v>28968</v>
      </c>
      <c r="AL97" s="3"/>
      <c r="AM97" s="3"/>
      <c r="AN97" s="3"/>
      <c r="AO97" s="3">
        <v>0</v>
      </c>
      <c r="AP97" s="3"/>
      <c r="AQ97" s="3">
        <v>38963</v>
      </c>
      <c r="AR97" s="3"/>
      <c r="AS97" s="3">
        <v>125</v>
      </c>
      <c r="AT97" s="3"/>
      <c r="AU97" s="3">
        <v>0</v>
      </c>
      <c r="AV97" s="3"/>
      <c r="AW97" s="3">
        <v>0</v>
      </c>
      <c r="AX97" s="3"/>
      <c r="AY97" s="3"/>
      <c r="AZ97" s="3"/>
      <c r="BA97" s="3">
        <v>0</v>
      </c>
      <c r="BB97" s="3"/>
      <c r="BC97" s="3">
        <f t="shared" si="13"/>
        <v>3576015</v>
      </c>
      <c r="BD97" s="3"/>
      <c r="BE97" s="3">
        <f>+'St of Act-Rev'!AG97-BC97</f>
        <v>62226</v>
      </c>
      <c r="BF97" s="3"/>
      <c r="BG97" s="3">
        <v>605907</v>
      </c>
      <c r="BH97" s="3"/>
      <c r="BI97" s="3">
        <f t="shared" si="14"/>
        <v>668133</v>
      </c>
      <c r="BJ97" s="3"/>
      <c r="BK97" s="3">
        <f>+'St of Net Assets'!AA97-BI97</f>
        <v>0</v>
      </c>
      <c r="BN97" s="90" t="s">
        <v>320</v>
      </c>
      <c r="BO97" s="3" t="str">
        <f t="shared" si="18"/>
        <v>Logan County Educ Srv Ctr</v>
      </c>
      <c r="BP97" s="3" t="str">
        <f t="shared" si="15"/>
        <v>Logan County Educ Srv Ctr</v>
      </c>
      <c r="BQ97" s="16" t="b">
        <f t="shared" si="10"/>
        <v>1</v>
      </c>
      <c r="BS97" s="3" t="str">
        <f t="shared" si="16"/>
        <v>Logan</v>
      </c>
      <c r="BT97" s="3" t="b">
        <f t="shared" si="17"/>
        <v>1</v>
      </c>
    </row>
    <row r="98" spans="1:72">
      <c r="A98" s="16" t="s">
        <v>338</v>
      </c>
      <c r="B98" s="16"/>
      <c r="C98" s="16" t="s">
        <v>145</v>
      </c>
      <c r="E98" s="16">
        <v>48108</v>
      </c>
      <c r="G98" s="3">
        <v>1198012</v>
      </c>
      <c r="H98" s="3"/>
      <c r="I98" s="3">
        <v>1317639</v>
      </c>
      <c r="J98" s="3"/>
      <c r="K98" s="3">
        <v>0</v>
      </c>
      <c r="L98" s="3"/>
      <c r="M98" s="32">
        <v>0</v>
      </c>
      <c r="N98" s="3"/>
      <c r="O98" s="3">
        <v>0</v>
      </c>
      <c r="P98" s="3"/>
      <c r="Q98" s="3">
        <v>1677700</v>
      </c>
      <c r="R98" s="3"/>
      <c r="S98" s="3">
        <v>5072629</v>
      </c>
      <c r="T98" s="3"/>
      <c r="U98" s="3">
        <v>33280</v>
      </c>
      <c r="V98" s="3"/>
      <c r="W98" s="3">
        <v>731097</v>
      </c>
      <c r="X98" s="3"/>
      <c r="Y98" s="3">
        <v>324920</v>
      </c>
      <c r="Z98" s="3"/>
      <c r="AA98" s="3">
        <v>500829</v>
      </c>
      <c r="AB98" s="3"/>
      <c r="AC98" s="3">
        <v>345908</v>
      </c>
      <c r="AD98" s="3"/>
      <c r="AE98" s="16" t="s">
        <v>338</v>
      </c>
      <c r="AF98" s="16"/>
      <c r="AG98" s="16" t="s">
        <v>145</v>
      </c>
      <c r="AH98" s="16"/>
      <c r="AI98" s="3">
        <v>0</v>
      </c>
      <c r="AJ98" s="3"/>
      <c r="AK98" s="3">
        <v>0</v>
      </c>
      <c r="AL98" s="3"/>
      <c r="AM98" s="3"/>
      <c r="AN98" s="3"/>
      <c r="AO98" s="3">
        <v>0</v>
      </c>
      <c r="AP98" s="3"/>
      <c r="AQ98" s="3">
        <v>68161</v>
      </c>
      <c r="AR98" s="3"/>
      <c r="AS98" s="3">
        <v>12125</v>
      </c>
      <c r="AT98" s="3"/>
      <c r="AU98" s="3">
        <v>0</v>
      </c>
      <c r="AV98" s="3"/>
      <c r="AW98" s="3">
        <v>0</v>
      </c>
      <c r="AX98" s="3"/>
      <c r="AY98" s="3"/>
      <c r="AZ98" s="3"/>
      <c r="BA98" s="3">
        <v>0</v>
      </c>
      <c r="BB98" s="3"/>
      <c r="BC98" s="3">
        <f t="shared" si="13"/>
        <v>11282300</v>
      </c>
      <c r="BD98" s="3"/>
      <c r="BE98" s="3">
        <f>+'St of Act-Rev'!AG98-BC98</f>
        <v>-776708</v>
      </c>
      <c r="BF98" s="3"/>
      <c r="BG98" s="3">
        <v>3837923</v>
      </c>
      <c r="BH98" s="3"/>
      <c r="BI98" s="3">
        <f t="shared" si="14"/>
        <v>3061215</v>
      </c>
      <c r="BJ98" s="3"/>
      <c r="BK98" s="3">
        <f>+'St of Net Assets'!AA98-BI98</f>
        <v>0</v>
      </c>
      <c r="BN98" s="16" t="s">
        <v>388</v>
      </c>
      <c r="BO98" s="3" t="str">
        <f t="shared" si="18"/>
        <v>Lorain County Educ Srv Ctr</v>
      </c>
      <c r="BP98" s="3" t="str">
        <f t="shared" si="15"/>
        <v>Lorain County Educ Srv Ctr</v>
      </c>
      <c r="BQ98" s="16" t="b">
        <f t="shared" si="10"/>
        <v>1</v>
      </c>
      <c r="BS98" s="3" t="str">
        <f t="shared" si="16"/>
        <v>Lorain</v>
      </c>
      <c r="BT98" s="3" t="b">
        <f t="shared" si="17"/>
        <v>1</v>
      </c>
    </row>
    <row r="99" spans="1:72">
      <c r="A99" s="16" t="s">
        <v>339</v>
      </c>
      <c r="B99" s="16"/>
      <c r="C99" s="16" t="s">
        <v>178</v>
      </c>
      <c r="E99" s="16">
        <v>48199</v>
      </c>
      <c r="G99" s="3">
        <v>33972</v>
      </c>
      <c r="H99" s="3"/>
      <c r="I99" s="3">
        <v>5803292</v>
      </c>
      <c r="J99" s="3"/>
      <c r="K99" s="3">
        <v>116156</v>
      </c>
      <c r="L99" s="3"/>
      <c r="M99" s="32">
        <v>54555</v>
      </c>
      <c r="N99" s="3"/>
      <c r="O99" s="3">
        <v>160536</v>
      </c>
      <c r="P99" s="3"/>
      <c r="Q99" s="3">
        <v>5866468</v>
      </c>
      <c r="R99" s="3"/>
      <c r="S99" s="3">
        <v>5113990</v>
      </c>
      <c r="T99" s="3"/>
      <c r="U99" s="3">
        <v>27876</v>
      </c>
      <c r="V99" s="3"/>
      <c r="W99" s="3">
        <v>2748700</v>
      </c>
      <c r="X99" s="3"/>
      <c r="Y99" s="3">
        <v>1201593</v>
      </c>
      <c r="Z99" s="3"/>
      <c r="AA99" s="3">
        <v>67730</v>
      </c>
      <c r="AB99" s="3"/>
      <c r="AC99" s="3">
        <v>1245433</v>
      </c>
      <c r="AD99" s="3"/>
      <c r="AE99" s="16" t="s">
        <v>339</v>
      </c>
      <c r="AF99" s="16"/>
      <c r="AG99" s="16" t="s">
        <v>178</v>
      </c>
      <c r="AH99" s="16"/>
      <c r="AI99" s="3">
        <v>2450</v>
      </c>
      <c r="AJ99" s="3"/>
      <c r="AK99" s="3">
        <v>271751</v>
      </c>
      <c r="AL99" s="3"/>
      <c r="AM99" s="3"/>
      <c r="AN99" s="3"/>
      <c r="AO99" s="3">
        <v>27411</v>
      </c>
      <c r="AP99" s="3"/>
      <c r="AQ99" s="3">
        <v>3115541</v>
      </c>
      <c r="AR99" s="3"/>
      <c r="AS99" s="3">
        <v>700</v>
      </c>
      <c r="AT99" s="3"/>
      <c r="AU99" s="3">
        <v>546</v>
      </c>
      <c r="AV99" s="3"/>
      <c r="AW99" s="3">
        <v>0</v>
      </c>
      <c r="AX99" s="3"/>
      <c r="AY99" s="3"/>
      <c r="AZ99" s="3"/>
      <c r="BA99" s="3">
        <v>0</v>
      </c>
      <c r="BB99" s="3"/>
      <c r="BC99" s="3">
        <f t="shared" si="13"/>
        <v>25858700</v>
      </c>
      <c r="BD99" s="3"/>
      <c r="BE99" s="3">
        <f>+'St of Act-Rev'!AG99-BC99</f>
        <v>-835776</v>
      </c>
      <c r="BF99" s="3"/>
      <c r="BG99" s="3">
        <v>7248173</v>
      </c>
      <c r="BH99" s="3"/>
      <c r="BI99" s="3">
        <f t="shared" si="14"/>
        <v>6412397</v>
      </c>
      <c r="BJ99" s="3"/>
      <c r="BK99" s="3">
        <f>+'St of Net Assets'!AA99-BI99</f>
        <v>0</v>
      </c>
      <c r="BN99" s="3"/>
      <c r="BO99" s="3" t="str">
        <f t="shared" si="18"/>
        <v>Lucas County Educ Srv Ctr</v>
      </c>
      <c r="BP99" s="3" t="str">
        <f t="shared" si="15"/>
        <v>Lucas County Educ Srv Ctr</v>
      </c>
      <c r="BQ99" s="16" t="b">
        <f t="shared" si="10"/>
        <v>1</v>
      </c>
      <c r="BS99" s="3" t="str">
        <f t="shared" si="16"/>
        <v>Lucas</v>
      </c>
      <c r="BT99" s="3" t="b">
        <f t="shared" si="17"/>
        <v>1</v>
      </c>
    </row>
    <row r="100" spans="1:72" s="72" customFormat="1" hidden="1">
      <c r="A100" s="65" t="s">
        <v>391</v>
      </c>
      <c r="B100" s="66"/>
      <c r="C100" s="66" t="s">
        <v>154</v>
      </c>
      <c r="E100" s="66">
        <v>137364</v>
      </c>
      <c r="G100" s="65"/>
      <c r="H100" s="65"/>
      <c r="I100" s="65"/>
      <c r="J100" s="65"/>
      <c r="K100" s="65"/>
      <c r="L100" s="65"/>
      <c r="M100" s="80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 t="s">
        <v>391</v>
      </c>
      <c r="AF100" s="66"/>
      <c r="AG100" s="66" t="s">
        <v>154</v>
      </c>
      <c r="AH100" s="66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3">
        <v>0</v>
      </c>
      <c r="AX100" s="65"/>
      <c r="AY100" s="65"/>
      <c r="AZ100" s="65"/>
      <c r="BA100" s="65"/>
      <c r="BB100" s="65"/>
      <c r="BC100" s="65">
        <f t="shared" si="13"/>
        <v>0</v>
      </c>
      <c r="BD100" s="65"/>
      <c r="BE100" s="65">
        <f>+'St of Act-Rev'!AG100-BC100</f>
        <v>0</v>
      </c>
      <c r="BF100" s="65"/>
      <c r="BG100" s="65"/>
      <c r="BH100" s="65"/>
      <c r="BI100" s="65">
        <f t="shared" si="14"/>
        <v>0</v>
      </c>
      <c r="BJ100" s="65"/>
      <c r="BK100" s="65">
        <f>+'St of Net Assets'!AA100-BI100</f>
        <v>0</v>
      </c>
      <c r="BL100" s="74"/>
      <c r="BM100" s="74"/>
      <c r="BN100" s="65" t="s">
        <v>390</v>
      </c>
      <c r="BO100" s="65" t="str">
        <f t="shared" si="18"/>
        <v>Madison-Champaign Educ Srv Ctr (CASH)</v>
      </c>
      <c r="BP100" s="65" t="str">
        <f t="shared" si="15"/>
        <v>Madison-Champaign Educ Srv Ctr (CASH)</v>
      </c>
      <c r="BQ100" s="66" t="b">
        <f t="shared" si="10"/>
        <v>1</v>
      </c>
      <c r="BS100" s="65" t="str">
        <f t="shared" si="16"/>
        <v>Champaign</v>
      </c>
      <c r="BT100" s="65" t="b">
        <f t="shared" si="17"/>
        <v>1</v>
      </c>
    </row>
    <row r="101" spans="1:72">
      <c r="A101" s="3" t="s">
        <v>392</v>
      </c>
      <c r="B101" s="16"/>
      <c r="C101" s="16" t="s">
        <v>179</v>
      </c>
      <c r="E101" s="16">
        <v>48280</v>
      </c>
      <c r="G101" s="3">
        <v>1964251</v>
      </c>
      <c r="H101" s="3"/>
      <c r="I101" s="3">
        <v>6312793</v>
      </c>
      <c r="J101" s="3"/>
      <c r="K101" s="3">
        <v>63547</v>
      </c>
      <c r="L101" s="3"/>
      <c r="M101" s="32">
        <v>792</v>
      </c>
      <c r="N101" s="3"/>
      <c r="O101" s="3">
        <v>0</v>
      </c>
      <c r="P101" s="3"/>
      <c r="Q101" s="3">
        <v>5498646</v>
      </c>
      <c r="R101" s="3"/>
      <c r="S101" s="3">
        <v>6523782</v>
      </c>
      <c r="T101" s="3"/>
      <c r="U101" s="3">
        <v>100470</v>
      </c>
      <c r="V101" s="3"/>
      <c r="W101" s="3">
        <v>860472</v>
      </c>
      <c r="X101" s="3"/>
      <c r="Y101" s="3">
        <v>714024</v>
      </c>
      <c r="Z101" s="3"/>
      <c r="AA101" s="3">
        <v>313728</v>
      </c>
      <c r="AB101" s="3"/>
      <c r="AC101" s="3">
        <v>411507</v>
      </c>
      <c r="AD101" s="3"/>
      <c r="AE101" s="3" t="s">
        <v>392</v>
      </c>
      <c r="AF101" s="16"/>
      <c r="AG101" s="16" t="s">
        <v>179</v>
      </c>
      <c r="AH101" s="16"/>
      <c r="AI101" s="3">
        <v>14825</v>
      </c>
      <c r="AJ101" s="3"/>
      <c r="AK101" s="3">
        <v>654773</v>
      </c>
      <c r="AL101" s="3"/>
      <c r="AM101" s="3"/>
      <c r="AN101" s="3"/>
      <c r="AO101" s="3">
        <v>0</v>
      </c>
      <c r="AP101" s="3"/>
      <c r="AQ101" s="3">
        <v>161154</v>
      </c>
      <c r="AR101" s="3"/>
      <c r="AS101" s="3">
        <v>0</v>
      </c>
      <c r="AT101" s="3"/>
      <c r="AU101" s="3">
        <v>0</v>
      </c>
      <c r="AV101" s="3"/>
      <c r="AW101" s="3">
        <v>0</v>
      </c>
      <c r="AX101" s="3"/>
      <c r="AY101" s="3"/>
      <c r="AZ101" s="3"/>
      <c r="BA101" s="3">
        <v>0</v>
      </c>
      <c r="BB101" s="3"/>
      <c r="BC101" s="3">
        <f t="shared" si="13"/>
        <v>23594764</v>
      </c>
      <c r="BD101" s="3"/>
      <c r="BE101" s="3">
        <f>+'St of Act-Rev'!AG101-BC101</f>
        <v>146967</v>
      </c>
      <c r="BF101" s="3"/>
      <c r="BG101" s="3">
        <v>3951371</v>
      </c>
      <c r="BH101" s="3"/>
      <c r="BI101" s="3">
        <f t="shared" si="14"/>
        <v>4098338</v>
      </c>
      <c r="BJ101" s="3"/>
      <c r="BK101" s="3">
        <f>+'St of Net Assets'!AA101-BI101</f>
        <v>0</v>
      </c>
      <c r="BN101" s="3"/>
      <c r="BO101" s="3" t="str">
        <f t="shared" si="18"/>
        <v>Mahoning County Educ Srv Ctr</v>
      </c>
      <c r="BP101" s="3" t="str">
        <f t="shared" si="15"/>
        <v>Mahoning County Educ Srv Ctr</v>
      </c>
      <c r="BQ101" s="16" t="b">
        <f t="shared" ref="BQ101:BQ130" si="20">BO101=BP101</f>
        <v>1</v>
      </c>
      <c r="BS101" s="3" t="str">
        <f t="shared" si="16"/>
        <v>Mahoning</v>
      </c>
      <c r="BT101" s="3" t="b">
        <f t="shared" si="17"/>
        <v>1</v>
      </c>
    </row>
    <row r="102" spans="1:72">
      <c r="A102" s="3" t="s">
        <v>180</v>
      </c>
      <c r="B102" s="16"/>
      <c r="C102" s="16" t="s">
        <v>181</v>
      </c>
      <c r="E102" s="16">
        <v>48454</v>
      </c>
      <c r="G102" s="3">
        <v>1488379</v>
      </c>
      <c r="H102" s="3"/>
      <c r="I102" s="3">
        <v>371416</v>
      </c>
      <c r="J102" s="3"/>
      <c r="K102" s="3">
        <v>1596</v>
      </c>
      <c r="L102" s="3"/>
      <c r="M102" s="32">
        <v>187558</v>
      </c>
      <c r="N102" s="3"/>
      <c r="O102" s="3">
        <v>863</v>
      </c>
      <c r="P102" s="3"/>
      <c r="Q102" s="3">
        <v>1164120</v>
      </c>
      <c r="R102" s="3"/>
      <c r="S102" s="3">
        <v>2764727</v>
      </c>
      <c r="T102" s="3"/>
      <c r="U102" s="3">
        <v>43865</v>
      </c>
      <c r="V102" s="3"/>
      <c r="W102" s="3">
        <v>312978</v>
      </c>
      <c r="X102" s="3"/>
      <c r="Y102" s="3">
        <v>227689</v>
      </c>
      <c r="Z102" s="3"/>
      <c r="AA102" s="3">
        <v>349882</v>
      </c>
      <c r="AB102" s="3"/>
      <c r="AC102" s="3">
        <v>0</v>
      </c>
      <c r="AD102" s="3"/>
      <c r="AE102" s="3" t="s">
        <v>180</v>
      </c>
      <c r="AF102" s="16"/>
      <c r="AG102" s="16" t="s">
        <v>181</v>
      </c>
      <c r="AH102" s="16"/>
      <c r="AI102" s="3">
        <v>13681</v>
      </c>
      <c r="AJ102" s="3"/>
      <c r="AK102" s="3">
        <v>425684</v>
      </c>
      <c r="AL102" s="3"/>
      <c r="AM102" s="3"/>
      <c r="AN102" s="3"/>
      <c r="AO102" s="3">
        <v>0</v>
      </c>
      <c r="AP102" s="3"/>
      <c r="AQ102" s="3">
        <v>12177</v>
      </c>
      <c r="AR102" s="3"/>
      <c r="AS102" s="3">
        <v>20682</v>
      </c>
      <c r="AT102" s="3"/>
      <c r="AU102" s="3">
        <v>0</v>
      </c>
      <c r="AV102" s="3"/>
      <c r="AW102" s="3">
        <v>0</v>
      </c>
      <c r="AX102" s="3"/>
      <c r="AY102" s="3"/>
      <c r="AZ102" s="3"/>
      <c r="BA102" s="3">
        <v>0</v>
      </c>
      <c r="BB102" s="3"/>
      <c r="BC102" s="3">
        <f t="shared" si="13"/>
        <v>7385297</v>
      </c>
      <c r="BD102" s="3"/>
      <c r="BE102" s="3">
        <f>+'St of Act-Rev'!AG102-BC102</f>
        <v>-430133</v>
      </c>
      <c r="BF102" s="3"/>
      <c r="BG102" s="3">
        <v>2148886</v>
      </c>
      <c r="BH102" s="3"/>
      <c r="BI102" s="3">
        <f t="shared" si="14"/>
        <v>1718753</v>
      </c>
      <c r="BJ102" s="3"/>
      <c r="BK102" s="3">
        <f>+'St of Net Assets'!AA102-BI102</f>
        <v>0</v>
      </c>
      <c r="BN102" s="3"/>
      <c r="BO102" s="3" t="str">
        <f t="shared" si="18"/>
        <v>Medina County Educ Srv Ctr</v>
      </c>
      <c r="BP102" s="3" t="str">
        <f t="shared" si="15"/>
        <v>Medina County Educ Srv Ctr</v>
      </c>
      <c r="BQ102" s="16" t="b">
        <f t="shared" si="20"/>
        <v>1</v>
      </c>
      <c r="BS102" s="3" t="str">
        <f t="shared" si="16"/>
        <v>Medina</v>
      </c>
      <c r="BT102" s="3" t="b">
        <f t="shared" si="17"/>
        <v>1</v>
      </c>
    </row>
    <row r="103" spans="1:72" s="72" customFormat="1" hidden="1">
      <c r="A103" s="65" t="s">
        <v>394</v>
      </c>
      <c r="B103" s="66"/>
      <c r="C103" s="66" t="s">
        <v>182</v>
      </c>
      <c r="E103" s="66">
        <v>48546</v>
      </c>
      <c r="G103" s="65"/>
      <c r="H103" s="65"/>
      <c r="I103" s="65"/>
      <c r="J103" s="65"/>
      <c r="K103" s="65"/>
      <c r="L103" s="65"/>
      <c r="M103" s="80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 t="s">
        <v>394</v>
      </c>
      <c r="AF103" s="66"/>
      <c r="AG103" s="66" t="s">
        <v>182</v>
      </c>
      <c r="AH103" s="66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3">
        <v>0</v>
      </c>
      <c r="AX103" s="65"/>
      <c r="AY103" s="65"/>
      <c r="AZ103" s="65"/>
      <c r="BA103" s="65"/>
      <c r="BB103" s="65"/>
      <c r="BC103" s="65">
        <f t="shared" si="13"/>
        <v>0</v>
      </c>
      <c r="BD103" s="65"/>
      <c r="BE103" s="65">
        <f>+'St of Act-Rev'!AG103-BC103</f>
        <v>0</v>
      </c>
      <c r="BF103" s="65"/>
      <c r="BG103" s="65"/>
      <c r="BH103" s="65"/>
      <c r="BI103" s="65">
        <f t="shared" si="14"/>
        <v>0</v>
      </c>
      <c r="BJ103" s="65"/>
      <c r="BK103" s="65">
        <f>+'St of Net Assets'!AA103-BI103</f>
        <v>0</v>
      </c>
      <c r="BL103" s="74"/>
      <c r="BM103" s="74"/>
      <c r="BN103" s="80" t="s">
        <v>393</v>
      </c>
      <c r="BO103" s="65" t="str">
        <f t="shared" si="18"/>
        <v>Mercer County Educ Srv Ctr (CASH)</v>
      </c>
      <c r="BP103" s="65" t="str">
        <f t="shared" si="15"/>
        <v>Mercer County Educ Srv Ctr (CASH)</v>
      </c>
      <c r="BQ103" s="66" t="b">
        <f t="shared" si="20"/>
        <v>1</v>
      </c>
      <c r="BS103" s="65" t="str">
        <f t="shared" si="16"/>
        <v>Mercer</v>
      </c>
      <c r="BT103" s="65" t="b">
        <f t="shared" si="17"/>
        <v>1</v>
      </c>
    </row>
    <row r="104" spans="1:72">
      <c r="A104" s="3" t="s">
        <v>395</v>
      </c>
      <c r="B104" s="16"/>
      <c r="C104" s="16" t="s">
        <v>183</v>
      </c>
      <c r="E104" s="16">
        <v>48603</v>
      </c>
      <c r="G104" s="3">
        <v>105593</v>
      </c>
      <c r="H104" s="3"/>
      <c r="I104" s="3">
        <v>4403886</v>
      </c>
      <c r="J104" s="3"/>
      <c r="K104" s="3">
        <v>0</v>
      </c>
      <c r="L104" s="3"/>
      <c r="M104" s="32">
        <v>0</v>
      </c>
      <c r="N104" s="3"/>
      <c r="O104" s="3">
        <v>0</v>
      </c>
      <c r="P104" s="3"/>
      <c r="Q104" s="3">
        <v>2742432</v>
      </c>
      <c r="R104" s="3"/>
      <c r="S104" s="3">
        <v>2674569</v>
      </c>
      <c r="T104" s="3"/>
      <c r="U104" s="3">
        <v>18382</v>
      </c>
      <c r="V104" s="3"/>
      <c r="W104" s="3">
        <v>1141283</v>
      </c>
      <c r="X104" s="3"/>
      <c r="Y104" s="3">
        <v>204274</v>
      </c>
      <c r="Z104" s="3"/>
      <c r="AA104" s="3">
        <v>0</v>
      </c>
      <c r="AB104" s="3"/>
      <c r="AC104" s="3">
        <v>103932</v>
      </c>
      <c r="AD104" s="3"/>
      <c r="AE104" s="3" t="s">
        <v>395</v>
      </c>
      <c r="AF104" s="16"/>
      <c r="AG104" s="16" t="s">
        <v>183</v>
      </c>
      <c r="AH104" s="16"/>
      <c r="AI104" s="3">
        <v>8277</v>
      </c>
      <c r="AJ104" s="3"/>
      <c r="AK104" s="3">
        <v>192704</v>
      </c>
      <c r="AL104" s="3"/>
      <c r="AM104" s="3"/>
      <c r="AN104" s="3"/>
      <c r="AO104" s="3">
        <v>0</v>
      </c>
      <c r="AP104" s="3"/>
      <c r="AQ104" s="3">
        <v>0</v>
      </c>
      <c r="AR104" s="3"/>
      <c r="AS104" s="3">
        <v>7706</v>
      </c>
      <c r="AT104" s="3"/>
      <c r="AU104" s="3">
        <v>6156</v>
      </c>
      <c r="AV104" s="3"/>
      <c r="AW104" s="3">
        <v>0</v>
      </c>
      <c r="AX104" s="3"/>
      <c r="AY104" s="3"/>
      <c r="AZ104" s="3"/>
      <c r="BA104" s="3">
        <v>0</v>
      </c>
      <c r="BB104" s="3"/>
      <c r="BC104" s="3">
        <f t="shared" si="13"/>
        <v>11609194</v>
      </c>
      <c r="BD104" s="3"/>
      <c r="BE104" s="3">
        <f>+'St of Act-Rev'!AG104-BC104</f>
        <v>148584</v>
      </c>
      <c r="BF104" s="3"/>
      <c r="BG104" s="3">
        <v>2615795</v>
      </c>
      <c r="BH104" s="3"/>
      <c r="BI104" s="3">
        <f t="shared" si="14"/>
        <v>2764379</v>
      </c>
      <c r="BJ104" s="3"/>
      <c r="BK104" s="3">
        <f>+'St of Net Assets'!AA104-BI104</f>
        <v>0</v>
      </c>
      <c r="BN104" s="3"/>
      <c r="BO104" s="3" t="str">
        <f t="shared" si="18"/>
        <v>Miami County Educ Srv Ctr</v>
      </c>
      <c r="BP104" s="3" t="str">
        <f t="shared" si="15"/>
        <v>Miami County Educ Srv Ctr</v>
      </c>
      <c r="BQ104" s="16" t="b">
        <f t="shared" si="20"/>
        <v>1</v>
      </c>
      <c r="BS104" s="3" t="str">
        <f t="shared" si="16"/>
        <v>Miami</v>
      </c>
      <c r="BT104" s="3" t="b">
        <f t="shared" si="17"/>
        <v>1</v>
      </c>
    </row>
    <row r="105" spans="1:72" s="72" customFormat="1" hidden="1">
      <c r="A105" s="65" t="s">
        <v>293</v>
      </c>
      <c r="B105" s="65"/>
      <c r="C105" s="65" t="s">
        <v>193</v>
      </c>
      <c r="E105" s="66"/>
      <c r="G105" s="65"/>
      <c r="H105" s="65"/>
      <c r="I105" s="65"/>
      <c r="J105" s="65"/>
      <c r="K105" s="65"/>
      <c r="L105" s="65"/>
      <c r="M105" s="80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 t="s">
        <v>293</v>
      </c>
      <c r="AF105" s="65"/>
      <c r="AG105" s="65" t="s">
        <v>193</v>
      </c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3">
        <v>0</v>
      </c>
      <c r="AX105" s="65"/>
      <c r="AY105" s="65"/>
      <c r="AZ105" s="65"/>
      <c r="BA105" s="65"/>
      <c r="BB105" s="65"/>
      <c r="BC105" s="65">
        <f>SUM(G105:BB105)</f>
        <v>0</v>
      </c>
      <c r="BD105" s="65"/>
      <c r="BE105" s="65">
        <f>+'St of Act-Rev'!AG105-BC105</f>
        <v>0</v>
      </c>
      <c r="BF105" s="65"/>
      <c r="BG105" s="65"/>
      <c r="BH105" s="65"/>
      <c r="BI105" s="65">
        <f>+BE105+BG105</f>
        <v>0</v>
      </c>
      <c r="BJ105" s="65"/>
      <c r="BK105" s="65">
        <f>+'St of Net Assets'!AA105-BI105</f>
        <v>0</v>
      </c>
      <c r="BL105" s="74"/>
      <c r="BM105" s="74"/>
      <c r="BN105" s="80" t="s">
        <v>393</v>
      </c>
      <c r="BO105" s="65" t="str">
        <f t="shared" si="18"/>
        <v>Mid-Ohio Educ Srv Ctr  (CASH)</v>
      </c>
      <c r="BP105" s="65" t="str">
        <f t="shared" si="15"/>
        <v>Mid-Ohio Educ Srv Ctr  (CASH)</v>
      </c>
      <c r="BQ105" s="66" t="b">
        <f t="shared" si="20"/>
        <v>1</v>
      </c>
      <c r="BS105" s="65" t="str">
        <f t="shared" si="16"/>
        <v>Richland</v>
      </c>
      <c r="BT105" s="65" t="b">
        <f t="shared" si="17"/>
        <v>1</v>
      </c>
    </row>
    <row r="106" spans="1:72">
      <c r="A106" s="3" t="s">
        <v>398</v>
      </c>
      <c r="B106" s="16"/>
      <c r="C106" s="16" t="s">
        <v>184</v>
      </c>
      <c r="E106" s="16">
        <v>48660</v>
      </c>
      <c r="G106" s="3">
        <v>0</v>
      </c>
      <c r="H106" s="3"/>
      <c r="I106" s="3">
        <v>6601633</v>
      </c>
      <c r="J106" s="3"/>
      <c r="K106" s="3">
        <v>0</v>
      </c>
      <c r="L106" s="3"/>
      <c r="M106" s="32">
        <v>0</v>
      </c>
      <c r="N106" s="3"/>
      <c r="O106" s="3">
        <v>0</v>
      </c>
      <c r="P106" s="3"/>
      <c r="Q106" s="3">
        <v>8528556</v>
      </c>
      <c r="R106" s="3"/>
      <c r="S106" s="3">
        <v>9516257</v>
      </c>
      <c r="T106" s="3"/>
      <c r="U106" s="3">
        <v>93435</v>
      </c>
      <c r="V106" s="3"/>
      <c r="W106" s="3">
        <v>2173457</v>
      </c>
      <c r="X106" s="3"/>
      <c r="Y106" s="3">
        <v>660424</v>
      </c>
      <c r="Z106" s="3"/>
      <c r="AA106" s="3">
        <v>58371</v>
      </c>
      <c r="AB106" s="3"/>
      <c r="AC106" s="3">
        <v>1765549</v>
      </c>
      <c r="AD106" s="3"/>
      <c r="AE106" s="3" t="s">
        <v>398</v>
      </c>
      <c r="AF106" s="16"/>
      <c r="AG106" s="16" t="s">
        <v>184</v>
      </c>
      <c r="AH106" s="16"/>
      <c r="AI106" s="3">
        <v>1130084</v>
      </c>
      <c r="AJ106" s="3"/>
      <c r="AK106" s="3">
        <v>961406</v>
      </c>
      <c r="AL106" s="3"/>
      <c r="AM106" s="3"/>
      <c r="AN106" s="3"/>
      <c r="AO106" s="3">
        <v>0</v>
      </c>
      <c r="AP106" s="3"/>
      <c r="AQ106" s="3">
        <v>255747</v>
      </c>
      <c r="AR106" s="3"/>
      <c r="AS106" s="3">
        <v>0</v>
      </c>
      <c r="AT106" s="3"/>
      <c r="AU106" s="3">
        <v>12911</v>
      </c>
      <c r="AV106" s="3"/>
      <c r="AW106" s="3">
        <v>0</v>
      </c>
      <c r="AX106" s="3"/>
      <c r="AY106" s="3"/>
      <c r="AZ106" s="3"/>
      <c r="BA106" s="3">
        <v>0</v>
      </c>
      <c r="BB106" s="3"/>
      <c r="BC106" s="3">
        <f t="shared" si="13"/>
        <v>31757830</v>
      </c>
      <c r="BD106" s="3"/>
      <c r="BE106" s="3">
        <f>+'St of Act-Rev'!AG106-BC106</f>
        <v>-413887</v>
      </c>
      <c r="BF106" s="3"/>
      <c r="BG106" s="3">
        <v>19445809</v>
      </c>
      <c r="BH106" s="3"/>
      <c r="BI106" s="3">
        <f t="shared" si="14"/>
        <v>19031922</v>
      </c>
      <c r="BJ106" s="3"/>
      <c r="BK106" s="3">
        <f>+'St of Net Assets'!AA106-BI106</f>
        <v>0</v>
      </c>
      <c r="BN106" s="3"/>
      <c r="BO106" s="3" t="str">
        <f t="shared" si="18"/>
        <v>Montgomery County Educ Srv Ctr</v>
      </c>
      <c r="BP106" s="3" t="str">
        <f t="shared" si="15"/>
        <v>Montgomery County Educ Srv Ctr</v>
      </c>
      <c r="BQ106" s="16" t="b">
        <f t="shared" si="20"/>
        <v>1</v>
      </c>
      <c r="BS106" s="3" t="str">
        <f t="shared" si="16"/>
        <v>Montgomery</v>
      </c>
      <c r="BT106" s="3" t="b">
        <f t="shared" si="17"/>
        <v>1</v>
      </c>
    </row>
    <row r="107" spans="1:72">
      <c r="A107" s="3" t="s">
        <v>185</v>
      </c>
      <c r="B107" s="16"/>
      <c r="C107" s="16" t="s">
        <v>186</v>
      </c>
      <c r="E107" s="16">
        <v>125252</v>
      </c>
      <c r="G107" s="3">
        <v>91803</v>
      </c>
      <c r="H107" s="3"/>
      <c r="I107" s="3">
        <v>3604884</v>
      </c>
      <c r="J107" s="3"/>
      <c r="K107" s="3">
        <v>0</v>
      </c>
      <c r="L107" s="3"/>
      <c r="M107" s="32">
        <v>0</v>
      </c>
      <c r="N107" s="3"/>
      <c r="O107" s="3">
        <v>13000</v>
      </c>
      <c r="P107" s="3"/>
      <c r="Q107" s="3">
        <v>2012822</v>
      </c>
      <c r="R107" s="3"/>
      <c r="S107" s="3">
        <v>3886601</v>
      </c>
      <c r="T107" s="3"/>
      <c r="U107" s="3">
        <v>38121</v>
      </c>
      <c r="V107" s="3"/>
      <c r="W107" s="3">
        <v>709817</v>
      </c>
      <c r="X107" s="3"/>
      <c r="Y107" s="3">
        <v>299651</v>
      </c>
      <c r="Z107" s="3"/>
      <c r="AA107" s="3">
        <v>0</v>
      </c>
      <c r="AB107" s="3"/>
      <c r="AC107" s="3">
        <v>56694</v>
      </c>
      <c r="AD107" s="3"/>
      <c r="AE107" s="3" t="s">
        <v>185</v>
      </c>
      <c r="AF107" s="16"/>
      <c r="AG107" s="16" t="s">
        <v>186</v>
      </c>
      <c r="AH107" s="16"/>
      <c r="AI107" s="3">
        <v>14938</v>
      </c>
      <c r="AJ107" s="3"/>
      <c r="AK107" s="3">
        <v>459601</v>
      </c>
      <c r="AL107" s="3"/>
      <c r="AM107" s="3"/>
      <c r="AN107" s="3"/>
      <c r="AO107" s="3">
        <v>0</v>
      </c>
      <c r="AP107" s="3"/>
      <c r="AQ107" s="3">
        <v>63444</v>
      </c>
      <c r="AR107" s="3"/>
      <c r="AS107" s="3">
        <v>19561</v>
      </c>
      <c r="AT107" s="3"/>
      <c r="AU107" s="3">
        <v>0</v>
      </c>
      <c r="AV107" s="3"/>
      <c r="AW107" s="3">
        <v>0</v>
      </c>
      <c r="AX107" s="3"/>
      <c r="AY107" s="3"/>
      <c r="AZ107" s="3"/>
      <c r="BA107" s="3">
        <v>0</v>
      </c>
      <c r="BB107" s="3"/>
      <c r="BC107" s="3">
        <f t="shared" si="13"/>
        <v>11270937</v>
      </c>
      <c r="BD107" s="3"/>
      <c r="BE107" s="3">
        <f>+'St of Act-Rev'!AG107-BC107</f>
        <v>-59456</v>
      </c>
      <c r="BF107" s="3"/>
      <c r="BG107" s="3">
        <v>2393404</v>
      </c>
      <c r="BH107" s="3"/>
      <c r="BI107" s="3">
        <f t="shared" si="14"/>
        <v>2333948</v>
      </c>
      <c r="BJ107" s="3"/>
      <c r="BK107" s="3">
        <f>+'St of Net Assets'!AA107-BI107</f>
        <v>0</v>
      </c>
      <c r="BN107" s="3"/>
      <c r="BO107" s="3" t="str">
        <f t="shared" si="18"/>
        <v>Muskingum Valley Educ Srv Ctr</v>
      </c>
      <c r="BP107" s="3" t="str">
        <f t="shared" si="15"/>
        <v>Muskingum Valley Educ Srv Ctr</v>
      </c>
      <c r="BQ107" s="16" t="b">
        <f t="shared" si="20"/>
        <v>1</v>
      </c>
      <c r="BS107" s="3" t="str">
        <f t="shared" si="16"/>
        <v>Muskingum</v>
      </c>
      <c r="BT107" s="3" t="b">
        <f t="shared" si="17"/>
        <v>1</v>
      </c>
    </row>
    <row r="108" spans="1:72">
      <c r="A108" s="3" t="s">
        <v>277</v>
      </c>
      <c r="B108" s="16"/>
      <c r="C108" s="16" t="s">
        <v>197</v>
      </c>
      <c r="E108" s="16">
        <v>123257</v>
      </c>
      <c r="G108" s="3">
        <v>952623</v>
      </c>
      <c r="H108" s="3"/>
      <c r="I108" s="3">
        <v>6026786</v>
      </c>
      <c r="J108" s="3"/>
      <c r="K108" s="3">
        <v>0</v>
      </c>
      <c r="L108" s="3"/>
      <c r="M108" s="32">
        <v>0</v>
      </c>
      <c r="N108" s="3"/>
      <c r="O108" s="3">
        <v>16759</v>
      </c>
      <c r="P108" s="3"/>
      <c r="Q108" s="3">
        <v>4452754</v>
      </c>
      <c r="R108" s="3"/>
      <c r="S108" s="3">
        <v>3641747</v>
      </c>
      <c r="T108" s="3"/>
      <c r="U108" s="3">
        <v>66677</v>
      </c>
      <c r="V108" s="3"/>
      <c r="W108" s="3">
        <v>1623405</v>
      </c>
      <c r="X108" s="3"/>
      <c r="Y108" s="3">
        <v>618157</v>
      </c>
      <c r="Z108" s="3"/>
      <c r="AA108" s="3">
        <v>171030</v>
      </c>
      <c r="AB108" s="3"/>
      <c r="AC108" s="3">
        <v>540805</v>
      </c>
      <c r="AD108" s="3"/>
      <c r="AE108" s="3" t="s">
        <v>277</v>
      </c>
      <c r="AF108" s="16"/>
      <c r="AG108" s="16" t="s">
        <v>197</v>
      </c>
      <c r="AH108" s="16"/>
      <c r="AI108" s="3">
        <v>148316</v>
      </c>
      <c r="AJ108" s="3"/>
      <c r="AK108" s="3">
        <v>754436</v>
      </c>
      <c r="AL108" s="3"/>
      <c r="AM108" s="3"/>
      <c r="AN108" s="3"/>
      <c r="AO108" s="3">
        <v>47661</v>
      </c>
      <c r="AP108" s="3"/>
      <c r="AQ108" s="3">
        <v>128959</v>
      </c>
      <c r="AR108" s="3"/>
      <c r="AS108" s="3">
        <v>1410</v>
      </c>
      <c r="AT108" s="3"/>
      <c r="AU108" s="3">
        <v>8304</v>
      </c>
      <c r="AV108" s="3"/>
      <c r="AW108" s="3">
        <v>0</v>
      </c>
      <c r="AX108" s="3"/>
      <c r="AY108" s="3"/>
      <c r="AZ108" s="3"/>
      <c r="BA108" s="3">
        <v>0</v>
      </c>
      <c r="BB108" s="3"/>
      <c r="BC108" s="3">
        <f t="shared" si="13"/>
        <v>19199829</v>
      </c>
      <c r="BD108" s="3"/>
      <c r="BE108" s="3">
        <f>+'St of Act-Rev'!AG108-BC108</f>
        <v>-70598</v>
      </c>
      <c r="BF108" s="3"/>
      <c r="BG108" s="3">
        <v>1034148</v>
      </c>
      <c r="BH108" s="3"/>
      <c r="BI108" s="3">
        <f t="shared" si="14"/>
        <v>963550</v>
      </c>
      <c r="BJ108" s="3"/>
      <c r="BK108" s="3">
        <f>+'St of Net Assets'!AA108-BI108</f>
        <v>0</v>
      </c>
      <c r="BN108" s="3"/>
      <c r="BO108" s="3" t="str">
        <f t="shared" si="18"/>
        <v>North Central Ohio Educ Srv Ctr</v>
      </c>
      <c r="BP108" s="3" t="str">
        <f t="shared" si="15"/>
        <v>North Central Ohio Educ Srv Ctr</v>
      </c>
      <c r="BQ108" s="16" t="b">
        <f t="shared" si="20"/>
        <v>1</v>
      </c>
      <c r="BS108" s="3" t="str">
        <f t="shared" si="16"/>
        <v>Seneca</v>
      </c>
      <c r="BT108" s="3" t="b">
        <f t="shared" si="17"/>
        <v>1</v>
      </c>
    </row>
    <row r="109" spans="1:72">
      <c r="A109" s="16" t="s">
        <v>340</v>
      </c>
      <c r="B109" s="16"/>
      <c r="C109" s="16" t="s">
        <v>163</v>
      </c>
      <c r="E109" s="16"/>
      <c r="G109" s="3">
        <v>385511</v>
      </c>
      <c r="H109" s="3"/>
      <c r="I109" s="3">
        <v>5675739</v>
      </c>
      <c r="J109" s="3"/>
      <c r="K109" s="3">
        <v>0</v>
      </c>
      <c r="L109" s="3"/>
      <c r="M109" s="32">
        <v>0</v>
      </c>
      <c r="N109" s="3"/>
      <c r="O109" s="3">
        <v>0</v>
      </c>
      <c r="P109" s="3"/>
      <c r="Q109" s="3">
        <v>5318562</v>
      </c>
      <c r="R109" s="3"/>
      <c r="S109" s="3">
        <v>7242021</v>
      </c>
      <c r="T109" s="3"/>
      <c r="U109" s="3">
        <v>101311</v>
      </c>
      <c r="V109" s="3"/>
      <c r="W109" s="3">
        <v>407466</v>
      </c>
      <c r="X109" s="3"/>
      <c r="Y109" s="3">
        <v>388172</v>
      </c>
      <c r="Z109" s="3"/>
      <c r="AA109" s="3">
        <v>161919</v>
      </c>
      <c r="AB109" s="3"/>
      <c r="AC109" s="3">
        <v>505410</v>
      </c>
      <c r="AD109" s="3"/>
      <c r="AE109" s="16" t="s">
        <v>340</v>
      </c>
      <c r="AF109" s="16"/>
      <c r="AG109" s="16" t="s">
        <v>163</v>
      </c>
      <c r="AH109" s="16"/>
      <c r="AI109" s="3">
        <v>0</v>
      </c>
      <c r="AJ109" s="3"/>
      <c r="AK109" s="3">
        <v>64683</v>
      </c>
      <c r="AL109" s="3"/>
      <c r="AM109" s="3"/>
      <c r="AN109" s="3"/>
      <c r="AO109" s="3">
        <v>0</v>
      </c>
      <c r="AP109" s="3"/>
      <c r="AQ109" s="3">
        <v>97529</v>
      </c>
      <c r="AR109" s="3"/>
      <c r="AS109" s="3">
        <v>23055</v>
      </c>
      <c r="AT109" s="3"/>
      <c r="AU109" s="3">
        <v>0</v>
      </c>
      <c r="AV109" s="3"/>
      <c r="AW109" s="3">
        <v>0</v>
      </c>
      <c r="AX109" s="3"/>
      <c r="AY109" s="3"/>
      <c r="AZ109" s="3"/>
      <c r="BA109" s="3">
        <v>0</v>
      </c>
      <c r="BB109" s="3"/>
      <c r="BC109" s="3">
        <f t="shared" ref="BC109" si="21">SUM(G109:BB109)</f>
        <v>20371378</v>
      </c>
      <c r="BD109" s="3"/>
      <c r="BE109" s="3">
        <f>+'St of Act-Rev'!AG109-BC109</f>
        <v>-395007</v>
      </c>
      <c r="BF109" s="3"/>
      <c r="BG109" s="3">
        <v>4417706</v>
      </c>
      <c r="BH109" s="3"/>
      <c r="BI109" s="3">
        <f t="shared" ref="BI109" si="22">+BE109+BG109</f>
        <v>4022699</v>
      </c>
      <c r="BJ109" s="3"/>
      <c r="BK109" s="3">
        <f>+'St of Net Assets'!AA109-BI109</f>
        <v>0</v>
      </c>
      <c r="BN109" s="3"/>
      <c r="BO109" s="3" t="str">
        <f t="shared" si="18"/>
        <v>North Point Educ Srv Ctr</v>
      </c>
      <c r="BP109" s="3" t="str">
        <f t="shared" si="15"/>
        <v>North Point Educ Srv Ctr</v>
      </c>
      <c r="BQ109" s="16" t="b">
        <f t="shared" si="20"/>
        <v>1</v>
      </c>
      <c r="BS109" s="3" t="str">
        <f t="shared" si="16"/>
        <v>Erie</v>
      </c>
      <c r="BT109" s="3" t="b">
        <f t="shared" si="17"/>
        <v>1</v>
      </c>
    </row>
    <row r="110" spans="1:72">
      <c r="A110" s="3" t="s">
        <v>166</v>
      </c>
      <c r="B110" s="16"/>
      <c r="C110" s="3" t="s">
        <v>399</v>
      </c>
      <c r="E110" s="16">
        <v>124297</v>
      </c>
      <c r="G110" s="3">
        <v>1443086</v>
      </c>
      <c r="H110" s="3"/>
      <c r="I110" s="3">
        <v>3573110</v>
      </c>
      <c r="J110" s="3"/>
      <c r="K110" s="3">
        <v>0</v>
      </c>
      <c r="L110" s="3"/>
      <c r="M110" s="32">
        <v>0</v>
      </c>
      <c r="N110" s="3"/>
      <c r="O110" s="3">
        <v>0</v>
      </c>
      <c r="P110" s="3"/>
      <c r="Q110" s="3">
        <v>4941084</v>
      </c>
      <c r="R110" s="3"/>
      <c r="S110" s="3">
        <v>7544199</v>
      </c>
      <c r="T110" s="3"/>
      <c r="U110" s="3">
        <v>97554</v>
      </c>
      <c r="V110" s="3"/>
      <c r="W110" s="3">
        <v>750830</v>
      </c>
      <c r="X110" s="3"/>
      <c r="Y110" s="3">
        <v>435257</v>
      </c>
      <c r="Z110" s="3"/>
      <c r="AA110" s="3">
        <v>65775</v>
      </c>
      <c r="AB110" s="3"/>
      <c r="AC110" s="3">
        <v>540403</v>
      </c>
      <c r="AD110" s="3"/>
      <c r="AE110" s="3" t="s">
        <v>166</v>
      </c>
      <c r="AF110" s="16"/>
      <c r="AG110" s="3" t="s">
        <v>399</v>
      </c>
      <c r="AH110" s="3"/>
      <c r="AI110" s="3">
        <v>262960</v>
      </c>
      <c r="AJ110" s="3"/>
      <c r="AK110" s="3">
        <v>207092</v>
      </c>
      <c r="AL110" s="3"/>
      <c r="AM110" s="3"/>
      <c r="AN110" s="3"/>
      <c r="AO110" s="3">
        <v>0</v>
      </c>
      <c r="AP110" s="3"/>
      <c r="AQ110" s="3">
        <v>50564</v>
      </c>
      <c r="AR110" s="3"/>
      <c r="AS110" s="3">
        <v>0</v>
      </c>
      <c r="AT110" s="3"/>
      <c r="AU110" s="3">
        <v>34488</v>
      </c>
      <c r="AV110" s="3"/>
      <c r="AW110" s="3">
        <v>0</v>
      </c>
      <c r="AX110" s="3"/>
      <c r="AY110" s="3"/>
      <c r="AZ110" s="3"/>
      <c r="BA110" s="3">
        <v>3690108</v>
      </c>
      <c r="BB110" s="3"/>
      <c r="BC110" s="3">
        <f t="shared" si="13"/>
        <v>23636510</v>
      </c>
      <c r="BD110" s="3"/>
      <c r="BE110" s="3">
        <f>+'St of Act-Rev'!AG110-BC110</f>
        <v>-820775</v>
      </c>
      <c r="BF110" s="3"/>
      <c r="BG110" s="3">
        <v>6927590</v>
      </c>
      <c r="BH110" s="3"/>
      <c r="BI110" s="3">
        <f t="shared" si="14"/>
        <v>6106815</v>
      </c>
      <c r="BJ110" s="3"/>
      <c r="BK110" s="3">
        <f>+'St of Net Assets'!AA110-BI110</f>
        <v>0</v>
      </c>
      <c r="BN110" s="3" t="s">
        <v>400</v>
      </c>
      <c r="BO110" s="3" t="str">
        <f t="shared" si="18"/>
        <v>Northwest Ohio Educ Srv Ctr</v>
      </c>
      <c r="BP110" s="3" t="str">
        <f t="shared" si="15"/>
        <v>Northwest Ohio Educ Srv Ctr</v>
      </c>
      <c r="BQ110" s="16" t="b">
        <f t="shared" si="20"/>
        <v>1</v>
      </c>
      <c r="BS110" s="3" t="str">
        <f t="shared" si="16"/>
        <v>Fulton</v>
      </c>
      <c r="BT110" s="3" t="b">
        <f t="shared" si="17"/>
        <v>1</v>
      </c>
    </row>
    <row r="111" spans="1:72">
      <c r="A111" s="3" t="s">
        <v>364</v>
      </c>
      <c r="B111" s="16"/>
      <c r="C111" s="3" t="s">
        <v>271</v>
      </c>
      <c r="E111" s="16">
        <v>123521</v>
      </c>
      <c r="G111" s="3">
        <v>227053</v>
      </c>
      <c r="H111" s="3"/>
      <c r="I111" s="3">
        <v>2470035</v>
      </c>
      <c r="J111" s="3"/>
      <c r="K111" s="3">
        <v>0</v>
      </c>
      <c r="L111" s="3"/>
      <c r="M111" s="32">
        <v>47226</v>
      </c>
      <c r="N111" s="3"/>
      <c r="O111" s="3">
        <v>149700</v>
      </c>
      <c r="P111" s="3"/>
      <c r="Q111" s="3">
        <v>1762585</v>
      </c>
      <c r="R111" s="3"/>
      <c r="S111" s="3">
        <v>2617678</v>
      </c>
      <c r="T111" s="3"/>
      <c r="U111" s="3">
        <v>46039</v>
      </c>
      <c r="V111" s="3"/>
      <c r="W111" s="3">
        <v>812878</v>
      </c>
      <c r="X111" s="3"/>
      <c r="Y111" s="3">
        <v>241854</v>
      </c>
      <c r="Z111" s="3"/>
      <c r="AA111" s="3">
        <v>0</v>
      </c>
      <c r="AB111" s="3"/>
      <c r="AC111" s="3">
        <v>102386</v>
      </c>
      <c r="AD111" s="3"/>
      <c r="AE111" s="3" t="s">
        <v>364</v>
      </c>
      <c r="AF111" s="16"/>
      <c r="AG111" s="3" t="s">
        <v>271</v>
      </c>
      <c r="AH111" s="16"/>
      <c r="AI111" s="3">
        <v>14650</v>
      </c>
      <c r="AJ111" s="3"/>
      <c r="AK111" s="3">
        <v>31398</v>
      </c>
      <c r="AL111" s="3"/>
      <c r="AM111" s="3"/>
      <c r="AN111" s="3"/>
      <c r="AO111" s="3">
        <v>0</v>
      </c>
      <c r="AP111" s="3"/>
      <c r="AQ111" s="3">
        <v>2862</v>
      </c>
      <c r="AR111" s="3"/>
      <c r="AS111" s="3">
        <v>49821</v>
      </c>
      <c r="AT111" s="3"/>
      <c r="AU111" s="3">
        <v>14374</v>
      </c>
      <c r="AV111" s="3"/>
      <c r="AW111" s="3">
        <v>0</v>
      </c>
      <c r="AX111" s="3"/>
      <c r="AY111" s="3"/>
      <c r="AZ111" s="3"/>
      <c r="BA111" s="3">
        <v>0</v>
      </c>
      <c r="BB111" s="3"/>
      <c r="BC111" s="3">
        <f t="shared" si="13"/>
        <v>8590539</v>
      </c>
      <c r="BD111" s="3"/>
      <c r="BE111" s="3">
        <f>+'St of Act-Rev'!AG111-BC111</f>
        <v>136028</v>
      </c>
      <c r="BF111" s="3"/>
      <c r="BG111" s="3">
        <v>1069710</v>
      </c>
      <c r="BH111" s="3"/>
      <c r="BI111" s="3">
        <f t="shared" si="14"/>
        <v>1205738</v>
      </c>
      <c r="BJ111" s="3"/>
      <c r="BK111" s="3">
        <f>+'St of Net Assets'!AA111-BI111</f>
        <v>0</v>
      </c>
      <c r="BN111" s="3"/>
      <c r="BO111" s="3" t="str">
        <f t="shared" si="18"/>
        <v>Ohio Valley Educ Srv Ctr</v>
      </c>
      <c r="BP111" s="3" t="str">
        <f t="shared" si="15"/>
        <v>Ohio Valley Educ Srv Ctr</v>
      </c>
      <c r="BQ111" s="16" t="b">
        <f t="shared" si="20"/>
        <v>1</v>
      </c>
      <c r="BS111" s="3" t="str">
        <f t="shared" si="16"/>
        <v>Guernsey</v>
      </c>
      <c r="BT111" s="3" t="b">
        <f t="shared" si="17"/>
        <v>1</v>
      </c>
    </row>
    <row r="112" spans="1:72">
      <c r="A112" s="3" t="s">
        <v>187</v>
      </c>
      <c r="B112" s="16"/>
      <c r="C112" s="16" t="s">
        <v>188</v>
      </c>
      <c r="E112" s="16">
        <v>125674</v>
      </c>
      <c r="G112" s="3">
        <v>700550</v>
      </c>
      <c r="H112" s="3"/>
      <c r="I112" s="3">
        <v>819380</v>
      </c>
      <c r="J112" s="3"/>
      <c r="K112" s="3">
        <v>0</v>
      </c>
      <c r="L112" s="3"/>
      <c r="M112" s="32">
        <v>26197</v>
      </c>
      <c r="N112" s="3"/>
      <c r="O112" s="3">
        <v>202880</v>
      </c>
      <c r="P112" s="3"/>
      <c r="Q112" s="3">
        <v>1591396</v>
      </c>
      <c r="R112" s="3"/>
      <c r="S112" s="3">
        <v>1629443</v>
      </c>
      <c r="T112" s="3"/>
      <c r="U112" s="3">
        <v>30955</v>
      </c>
      <c r="V112" s="3"/>
      <c r="W112" s="3">
        <v>483726</v>
      </c>
      <c r="X112" s="3"/>
      <c r="Y112" s="3">
        <v>241295</v>
      </c>
      <c r="Z112" s="3"/>
      <c r="AA112" s="3">
        <v>0</v>
      </c>
      <c r="AB112" s="3"/>
      <c r="AC112" s="3">
        <v>163192</v>
      </c>
      <c r="AD112" s="3"/>
      <c r="AE112" s="3" t="s">
        <v>187</v>
      </c>
      <c r="AF112" s="16"/>
      <c r="AG112" s="16" t="s">
        <v>188</v>
      </c>
      <c r="AH112" s="16"/>
      <c r="AI112" s="3">
        <v>28783</v>
      </c>
      <c r="AJ112" s="3"/>
      <c r="AK112" s="3">
        <v>129952</v>
      </c>
      <c r="AL112" s="3"/>
      <c r="AM112" s="3"/>
      <c r="AN112" s="3"/>
      <c r="AO112" s="3">
        <v>0</v>
      </c>
      <c r="AP112" s="3"/>
      <c r="AQ112" s="3">
        <v>58055</v>
      </c>
      <c r="AR112" s="3"/>
      <c r="AS112" s="3">
        <v>3875</v>
      </c>
      <c r="AT112" s="3"/>
      <c r="AU112" s="3">
        <v>2852</v>
      </c>
      <c r="AV112" s="3"/>
      <c r="AW112" s="3">
        <v>0</v>
      </c>
      <c r="AX112" s="3"/>
      <c r="AY112" s="3"/>
      <c r="AZ112" s="3"/>
      <c r="BA112" s="3">
        <v>0</v>
      </c>
      <c r="BB112" s="3"/>
      <c r="BC112" s="3">
        <f t="shared" si="13"/>
        <v>6112531</v>
      </c>
      <c r="BD112" s="3"/>
      <c r="BE112" s="3">
        <f>+'St of Act-Rev'!AG112-BC112</f>
        <v>403338</v>
      </c>
      <c r="BF112" s="3"/>
      <c r="BG112" s="3">
        <v>435321</v>
      </c>
      <c r="BH112" s="3"/>
      <c r="BI112" s="3">
        <f t="shared" si="14"/>
        <v>838659</v>
      </c>
      <c r="BJ112" s="3"/>
      <c r="BK112" s="3">
        <f>+'St of Net Assets'!AA112-BI112</f>
        <v>0</v>
      </c>
      <c r="BN112" s="3" t="s">
        <v>406</v>
      </c>
      <c r="BO112" s="3" t="str">
        <f t="shared" si="18"/>
        <v>Perry-Hocking Educ Srv Ctr</v>
      </c>
      <c r="BP112" s="3" t="str">
        <f t="shared" si="15"/>
        <v>Perry-Hocking Educ Srv Ctr</v>
      </c>
      <c r="BQ112" s="16" t="b">
        <f t="shared" si="20"/>
        <v>1</v>
      </c>
      <c r="BS112" s="3" t="str">
        <f t="shared" si="16"/>
        <v>Perry</v>
      </c>
      <c r="BT112" s="3" t="b">
        <f t="shared" si="17"/>
        <v>1</v>
      </c>
    </row>
    <row r="113" spans="1:72">
      <c r="A113" s="3" t="s">
        <v>421</v>
      </c>
      <c r="B113" s="16"/>
      <c r="C113" s="16" t="s">
        <v>189</v>
      </c>
      <c r="E113" s="16">
        <v>49072</v>
      </c>
      <c r="G113" s="3">
        <v>90151</v>
      </c>
      <c r="H113" s="3"/>
      <c r="I113" s="3">
        <v>304947</v>
      </c>
      <c r="J113" s="3"/>
      <c r="K113" s="3">
        <v>0</v>
      </c>
      <c r="L113" s="3"/>
      <c r="M113" s="32">
        <v>63262</v>
      </c>
      <c r="N113" s="3"/>
      <c r="O113" s="3">
        <v>49898</v>
      </c>
      <c r="P113" s="3"/>
      <c r="Q113" s="3">
        <v>1972632</v>
      </c>
      <c r="R113" s="3"/>
      <c r="S113" s="3">
        <v>695216</v>
      </c>
      <c r="T113" s="3"/>
      <c r="U113" s="3">
        <v>44334</v>
      </c>
      <c r="V113" s="3"/>
      <c r="W113" s="3">
        <v>250963</v>
      </c>
      <c r="X113" s="3"/>
      <c r="Y113" s="3">
        <v>154403</v>
      </c>
      <c r="Z113" s="3"/>
      <c r="AA113" s="3">
        <v>21128</v>
      </c>
      <c r="AB113" s="3"/>
      <c r="AC113" s="3">
        <v>141384</v>
      </c>
      <c r="AD113" s="3"/>
      <c r="AE113" s="3" t="s">
        <v>421</v>
      </c>
      <c r="AF113" s="16"/>
      <c r="AG113" s="16" t="s">
        <v>189</v>
      </c>
      <c r="AH113" s="16"/>
      <c r="AI113" s="3">
        <v>162976</v>
      </c>
      <c r="AJ113" s="3"/>
      <c r="AK113" s="3">
        <v>157753</v>
      </c>
      <c r="AL113" s="3"/>
      <c r="AM113" s="3"/>
      <c r="AN113" s="3"/>
      <c r="AO113" s="3">
        <v>0</v>
      </c>
      <c r="AP113" s="3"/>
      <c r="AQ113" s="3">
        <v>7700</v>
      </c>
      <c r="AR113" s="3"/>
      <c r="AS113" s="3">
        <v>0</v>
      </c>
      <c r="AT113" s="3"/>
      <c r="AU113" s="3">
        <v>0</v>
      </c>
      <c r="AV113" s="3"/>
      <c r="AW113" s="3">
        <v>0</v>
      </c>
      <c r="AX113" s="3"/>
      <c r="AY113" s="3"/>
      <c r="AZ113" s="3"/>
      <c r="BA113" s="3">
        <v>0</v>
      </c>
      <c r="BB113" s="3"/>
      <c r="BC113" s="3">
        <f t="shared" si="13"/>
        <v>4116747</v>
      </c>
      <c r="BD113" s="3"/>
      <c r="BE113" s="3">
        <f>+'St of Act-Rev'!AG113-BC113</f>
        <v>23241</v>
      </c>
      <c r="BF113" s="3"/>
      <c r="BG113" s="3">
        <v>956750</v>
      </c>
      <c r="BH113" s="3"/>
      <c r="BI113" s="3">
        <f t="shared" si="14"/>
        <v>979991</v>
      </c>
      <c r="BJ113" s="3"/>
      <c r="BK113" s="3">
        <f>+'St of Net Assets'!AA113-BI113</f>
        <v>0</v>
      </c>
      <c r="BN113" s="32"/>
      <c r="BO113" s="3" t="str">
        <f t="shared" si="18"/>
        <v>Pickaway County Educ Srv Ctr</v>
      </c>
      <c r="BP113" s="3" t="str">
        <f t="shared" si="15"/>
        <v>Pickaway County Educ Srv Ctr</v>
      </c>
      <c r="BQ113" s="16" t="b">
        <f t="shared" si="20"/>
        <v>1</v>
      </c>
      <c r="BS113" s="3" t="str">
        <f t="shared" si="16"/>
        <v>Pickaway</v>
      </c>
      <c r="BT113" s="3" t="b">
        <f t="shared" si="17"/>
        <v>1</v>
      </c>
    </row>
    <row r="114" spans="1:72">
      <c r="A114" s="3" t="s">
        <v>408</v>
      </c>
      <c r="B114" s="16"/>
      <c r="C114" s="16" t="s">
        <v>190</v>
      </c>
      <c r="E114" s="16">
        <v>49163</v>
      </c>
      <c r="G114" s="3">
        <v>81011</v>
      </c>
      <c r="H114" s="3"/>
      <c r="I114" s="3">
        <v>3136419</v>
      </c>
      <c r="J114" s="3"/>
      <c r="K114" s="3">
        <v>0</v>
      </c>
      <c r="L114" s="3"/>
      <c r="M114" s="32">
        <v>0</v>
      </c>
      <c r="N114" s="3"/>
      <c r="O114" s="3">
        <v>0</v>
      </c>
      <c r="P114" s="3"/>
      <c r="Q114" s="3">
        <v>1708708</v>
      </c>
      <c r="R114" s="3"/>
      <c r="S114" s="3">
        <v>2447425</v>
      </c>
      <c r="T114" s="3"/>
      <c r="U114" s="3">
        <v>120644</v>
      </c>
      <c r="V114" s="3"/>
      <c r="W114" s="3">
        <v>652114</v>
      </c>
      <c r="X114" s="3"/>
      <c r="Y114" s="3">
        <v>267683</v>
      </c>
      <c r="Z114" s="3"/>
      <c r="AA114" s="3">
        <v>95245</v>
      </c>
      <c r="AB114" s="3"/>
      <c r="AC114" s="3">
        <v>59567</v>
      </c>
      <c r="AD114" s="3"/>
      <c r="AE114" s="3" t="s">
        <v>408</v>
      </c>
      <c r="AF114" s="16"/>
      <c r="AG114" s="16" t="s">
        <v>190</v>
      </c>
      <c r="AH114" s="16"/>
      <c r="AI114" s="3">
        <v>9382</v>
      </c>
      <c r="AJ114" s="3"/>
      <c r="AK114" s="3">
        <v>328</v>
      </c>
      <c r="AL114" s="3"/>
      <c r="AM114" s="3"/>
      <c r="AN114" s="3"/>
      <c r="AO114" s="3">
        <v>114602</v>
      </c>
      <c r="AP114" s="3"/>
      <c r="AQ114" s="3">
        <v>0</v>
      </c>
      <c r="AR114" s="3"/>
      <c r="AS114" s="3">
        <v>10072</v>
      </c>
      <c r="AT114" s="3"/>
      <c r="AU114" s="3">
        <v>279</v>
      </c>
      <c r="AV114" s="3"/>
      <c r="AW114" s="3">
        <v>0</v>
      </c>
      <c r="AX114" s="3"/>
      <c r="AY114" s="3"/>
      <c r="AZ114" s="3"/>
      <c r="BA114" s="3">
        <v>0</v>
      </c>
      <c r="BB114" s="3"/>
      <c r="BC114" s="3">
        <f t="shared" si="13"/>
        <v>8703479</v>
      </c>
      <c r="BD114" s="3"/>
      <c r="BE114" s="3">
        <f>+'St of Act-Rev'!AG114-BC114</f>
        <v>-8580</v>
      </c>
      <c r="BF114" s="3"/>
      <c r="BG114" s="3">
        <v>726219</v>
      </c>
      <c r="BH114" s="3"/>
      <c r="BI114" s="3">
        <f t="shared" si="14"/>
        <v>717639</v>
      </c>
      <c r="BJ114" s="3"/>
      <c r="BK114" s="3">
        <f>+'St of Net Assets'!AA114-BI114</f>
        <v>0</v>
      </c>
      <c r="BN114" s="32"/>
      <c r="BO114" s="3" t="str">
        <f t="shared" si="18"/>
        <v>Portage County Educ Srv Ctr</v>
      </c>
      <c r="BP114" s="3" t="str">
        <f t="shared" si="15"/>
        <v>Portage County Educ Srv Ctr</v>
      </c>
      <c r="BQ114" s="16" t="b">
        <f t="shared" si="20"/>
        <v>1</v>
      </c>
      <c r="BS114" s="3" t="str">
        <f t="shared" si="16"/>
        <v>Portage</v>
      </c>
      <c r="BT114" s="3" t="b">
        <f t="shared" si="17"/>
        <v>1</v>
      </c>
    </row>
    <row r="115" spans="1:72" s="72" customFormat="1" hidden="1">
      <c r="A115" s="66" t="s">
        <v>409</v>
      </c>
      <c r="B115" s="66"/>
      <c r="C115" s="66" t="s">
        <v>191</v>
      </c>
      <c r="E115" s="66">
        <v>49254</v>
      </c>
      <c r="G115" s="65"/>
      <c r="H115" s="65"/>
      <c r="I115" s="65"/>
      <c r="J115" s="65"/>
      <c r="K115" s="65"/>
      <c r="L115" s="65"/>
      <c r="M115" s="80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6" t="s">
        <v>409</v>
      </c>
      <c r="AF115" s="66"/>
      <c r="AG115" s="66" t="s">
        <v>191</v>
      </c>
      <c r="AH115" s="66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3">
        <v>0</v>
      </c>
      <c r="AX115" s="65"/>
      <c r="AY115" s="65"/>
      <c r="AZ115" s="65"/>
      <c r="BA115" s="65"/>
      <c r="BB115" s="65"/>
      <c r="BC115" s="65">
        <f t="shared" si="13"/>
        <v>0</v>
      </c>
      <c r="BD115" s="65"/>
      <c r="BE115" s="65">
        <f>+'St of Act-Rev'!AG115-BC115</f>
        <v>0</v>
      </c>
      <c r="BF115" s="65"/>
      <c r="BG115" s="65"/>
      <c r="BH115" s="65"/>
      <c r="BI115" s="65">
        <f t="shared" si="14"/>
        <v>0</v>
      </c>
      <c r="BJ115" s="65"/>
      <c r="BK115" s="65">
        <f>+'St of Net Assets'!AA115-BI115</f>
        <v>0</v>
      </c>
      <c r="BL115" s="74"/>
      <c r="BM115" s="74"/>
      <c r="BN115" s="80" t="s">
        <v>410</v>
      </c>
      <c r="BO115" s="65" t="str">
        <f t="shared" si="18"/>
        <v>Preble County Educ Srv Ctr (CASH)</v>
      </c>
      <c r="BP115" s="65" t="str">
        <f t="shared" si="15"/>
        <v>Preble County Educ Srv Ctr (CASH)</v>
      </c>
      <c r="BQ115" s="66" t="b">
        <f t="shared" si="20"/>
        <v>1</v>
      </c>
      <c r="BS115" s="65" t="str">
        <f t="shared" si="16"/>
        <v>Preble</v>
      </c>
      <c r="BT115" s="65" t="b">
        <f t="shared" si="17"/>
        <v>1</v>
      </c>
    </row>
    <row r="116" spans="1:72">
      <c r="A116" s="3" t="s">
        <v>411</v>
      </c>
      <c r="B116" s="16"/>
      <c r="C116" s="16" t="s">
        <v>192</v>
      </c>
      <c r="E116" s="16">
        <v>49304</v>
      </c>
      <c r="G116" s="3">
        <v>889054</v>
      </c>
      <c r="H116" s="3"/>
      <c r="I116" s="3">
        <v>959903</v>
      </c>
      <c r="J116" s="3"/>
      <c r="K116" s="3">
        <v>0</v>
      </c>
      <c r="L116" s="3"/>
      <c r="M116" s="32">
        <v>28978</v>
      </c>
      <c r="N116" s="3"/>
      <c r="O116" s="3">
        <v>80</v>
      </c>
      <c r="P116" s="3"/>
      <c r="Q116" s="3">
        <v>1005773</v>
      </c>
      <c r="R116" s="3"/>
      <c r="S116" s="3">
        <v>1616630</v>
      </c>
      <c r="T116" s="3"/>
      <c r="U116" s="3">
        <v>28369</v>
      </c>
      <c r="V116" s="3"/>
      <c r="W116" s="3">
        <v>273107</v>
      </c>
      <c r="X116" s="3"/>
      <c r="Y116" s="3">
        <v>285499</v>
      </c>
      <c r="Z116" s="3"/>
      <c r="AA116" s="3">
        <v>13793</v>
      </c>
      <c r="AB116" s="3"/>
      <c r="AC116" s="3">
        <v>98584</v>
      </c>
      <c r="AD116" s="3"/>
      <c r="AE116" s="3" t="s">
        <v>411</v>
      </c>
      <c r="AF116" s="16"/>
      <c r="AG116" s="16" t="s">
        <v>192</v>
      </c>
      <c r="AH116" s="16"/>
      <c r="AI116" s="3">
        <v>97058</v>
      </c>
      <c r="AJ116" s="3"/>
      <c r="AK116" s="3">
        <v>24091</v>
      </c>
      <c r="AL116" s="3"/>
      <c r="AM116" s="3"/>
      <c r="AN116" s="3"/>
      <c r="AO116" s="3">
        <v>0</v>
      </c>
      <c r="AP116" s="3"/>
      <c r="AQ116" s="3">
        <v>24008</v>
      </c>
      <c r="AR116" s="3"/>
      <c r="AS116" s="3">
        <v>0</v>
      </c>
      <c r="AT116" s="3"/>
      <c r="AU116" s="3">
        <v>29945</v>
      </c>
      <c r="AV116" s="3"/>
      <c r="AW116" s="3">
        <v>0</v>
      </c>
      <c r="AX116" s="3"/>
      <c r="AY116" s="3"/>
      <c r="AZ116" s="3"/>
      <c r="BA116" s="3">
        <v>1111311</v>
      </c>
      <c r="BB116" s="3"/>
      <c r="BC116" s="3">
        <f t="shared" si="13"/>
        <v>6486183</v>
      </c>
      <c r="BD116" s="3"/>
      <c r="BE116" s="3">
        <f>+'St of Act-Rev'!AG116-BC116</f>
        <v>379064</v>
      </c>
      <c r="BF116" s="3"/>
      <c r="BG116" s="3">
        <v>4232603</v>
      </c>
      <c r="BH116" s="3"/>
      <c r="BI116" s="3">
        <f t="shared" si="14"/>
        <v>4611667</v>
      </c>
      <c r="BJ116" s="3"/>
      <c r="BK116" s="3">
        <f>+'St of Net Assets'!AA116-BI116</f>
        <v>0</v>
      </c>
      <c r="BN116" s="3"/>
      <c r="BO116" s="3" t="str">
        <f t="shared" si="18"/>
        <v>Putnam County Educ Srv Ctr</v>
      </c>
      <c r="BP116" s="3" t="str">
        <f t="shared" si="15"/>
        <v>Putnam County Educ Srv Ctr</v>
      </c>
      <c r="BQ116" s="16" t="b">
        <f t="shared" si="20"/>
        <v>1</v>
      </c>
      <c r="BS116" s="3" t="str">
        <f t="shared" si="16"/>
        <v>Putnam</v>
      </c>
      <c r="BT116" s="3" t="b">
        <f t="shared" si="17"/>
        <v>1</v>
      </c>
    </row>
    <row r="117" spans="1:72">
      <c r="A117" s="3" t="s">
        <v>412</v>
      </c>
      <c r="B117" s="16"/>
      <c r="C117" s="16" t="s">
        <v>194</v>
      </c>
      <c r="E117" s="16">
        <v>138222</v>
      </c>
      <c r="G117" s="3">
        <v>45539</v>
      </c>
      <c r="H117" s="3"/>
      <c r="I117" s="3">
        <v>4307070</v>
      </c>
      <c r="J117" s="3"/>
      <c r="K117" s="3">
        <v>0</v>
      </c>
      <c r="L117" s="3"/>
      <c r="M117" s="32">
        <v>0</v>
      </c>
      <c r="N117" s="3"/>
      <c r="O117" s="3">
        <v>12531</v>
      </c>
      <c r="P117" s="3"/>
      <c r="Q117" s="3">
        <v>2001832</v>
      </c>
      <c r="R117" s="3"/>
      <c r="S117" s="3">
        <v>2977738</v>
      </c>
      <c r="T117" s="3"/>
      <c r="U117" s="3">
        <v>55967</v>
      </c>
      <c r="V117" s="3"/>
      <c r="W117" s="3">
        <v>435954</v>
      </c>
      <c r="X117" s="3"/>
      <c r="Y117" s="3">
        <v>330910</v>
      </c>
      <c r="Z117" s="3"/>
      <c r="AA117" s="3">
        <v>0</v>
      </c>
      <c r="AB117" s="3"/>
      <c r="AC117" s="3">
        <v>110317</v>
      </c>
      <c r="AD117" s="3"/>
      <c r="AE117" s="3" t="s">
        <v>412</v>
      </c>
      <c r="AF117" s="16"/>
      <c r="AG117" s="16" t="s">
        <v>194</v>
      </c>
      <c r="AH117" s="16"/>
      <c r="AI117" s="3">
        <v>0</v>
      </c>
      <c r="AJ117" s="3"/>
      <c r="AK117" s="3">
        <v>61348</v>
      </c>
      <c r="AL117" s="3"/>
      <c r="AM117" s="3"/>
      <c r="AN117" s="3"/>
      <c r="AO117" s="3">
        <v>0</v>
      </c>
      <c r="AP117" s="3"/>
      <c r="AQ117" s="3">
        <v>26050</v>
      </c>
      <c r="AR117" s="3"/>
      <c r="AS117" s="3">
        <v>0</v>
      </c>
      <c r="AT117" s="3"/>
      <c r="AU117" s="3">
        <v>0</v>
      </c>
      <c r="AV117" s="3"/>
      <c r="AW117" s="3">
        <v>0</v>
      </c>
      <c r="AX117" s="3"/>
      <c r="AY117" s="3"/>
      <c r="AZ117" s="3"/>
      <c r="BA117" s="3">
        <v>0</v>
      </c>
      <c r="BB117" s="3"/>
      <c r="BC117" s="3">
        <f t="shared" si="13"/>
        <v>10365256</v>
      </c>
      <c r="BD117" s="3"/>
      <c r="BE117" s="3">
        <f>+'St of Act-Rev'!AG117-BC117</f>
        <v>406562</v>
      </c>
      <c r="BF117" s="3"/>
      <c r="BG117" s="3">
        <v>2880039</v>
      </c>
      <c r="BH117" s="3"/>
      <c r="BI117" s="3">
        <f t="shared" si="14"/>
        <v>3286601</v>
      </c>
      <c r="BJ117" s="3"/>
      <c r="BK117" s="3">
        <f>+'St of Net Assets'!AA117-BI117</f>
        <v>0</v>
      </c>
      <c r="BN117" s="3"/>
      <c r="BO117" s="3" t="str">
        <f t="shared" si="18"/>
        <v>Ross-Pike Educ Srv District</v>
      </c>
      <c r="BP117" s="3" t="str">
        <f t="shared" si="15"/>
        <v>Ross-Pike Educ Srv District</v>
      </c>
      <c r="BQ117" s="16" t="b">
        <f t="shared" si="20"/>
        <v>1</v>
      </c>
      <c r="BS117" s="3" t="str">
        <f t="shared" si="16"/>
        <v>Ross</v>
      </c>
      <c r="BT117" s="3" t="b">
        <f t="shared" si="17"/>
        <v>1</v>
      </c>
    </row>
    <row r="118" spans="1:72" s="72" customFormat="1" hidden="1">
      <c r="A118" s="65" t="s">
        <v>341</v>
      </c>
      <c r="B118" s="66"/>
      <c r="C118" s="66" t="s">
        <v>195</v>
      </c>
      <c r="E118" s="66">
        <v>49551</v>
      </c>
      <c r="G118" s="65"/>
      <c r="H118" s="65"/>
      <c r="I118" s="65"/>
      <c r="J118" s="65"/>
      <c r="K118" s="65"/>
      <c r="L118" s="65"/>
      <c r="M118" s="80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 t="s">
        <v>341</v>
      </c>
      <c r="AF118" s="66"/>
      <c r="AG118" s="66" t="s">
        <v>195</v>
      </c>
      <c r="AH118" s="66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3">
        <v>0</v>
      </c>
      <c r="AX118" s="65"/>
      <c r="AY118" s="65"/>
      <c r="AZ118" s="65"/>
      <c r="BA118" s="65"/>
      <c r="BB118" s="65"/>
      <c r="BC118" s="65">
        <f t="shared" si="13"/>
        <v>0</v>
      </c>
      <c r="BD118" s="65"/>
      <c r="BE118" s="65">
        <f>+'St of Act-Rev'!AG118-BC118</f>
        <v>0</v>
      </c>
      <c r="BF118" s="65"/>
      <c r="BG118" s="65"/>
      <c r="BH118" s="65"/>
      <c r="BI118" s="65">
        <f t="shared" si="14"/>
        <v>0</v>
      </c>
      <c r="BJ118" s="65"/>
      <c r="BK118" s="65">
        <f>+'St of Net Assets'!AA118-BI118</f>
        <v>0</v>
      </c>
      <c r="BL118" s="74"/>
      <c r="BM118" s="74"/>
      <c r="BN118" s="65" t="s">
        <v>321</v>
      </c>
      <c r="BO118" s="65" t="str">
        <f t="shared" si="18"/>
        <v>Sandusky Educ Srv Ctr - merged with two other ESC</v>
      </c>
      <c r="BP118" s="65" t="str">
        <f t="shared" si="15"/>
        <v>Sandusky Educ Srv Ctr - merged with two other ESC</v>
      </c>
      <c r="BQ118" s="66" t="b">
        <f t="shared" si="20"/>
        <v>1</v>
      </c>
      <c r="BS118" s="65" t="str">
        <f t="shared" si="16"/>
        <v>Sandusky</v>
      </c>
      <c r="BT118" s="65" t="b">
        <f t="shared" si="17"/>
        <v>1</v>
      </c>
    </row>
    <row r="119" spans="1:72">
      <c r="A119" s="3" t="s">
        <v>417</v>
      </c>
      <c r="B119" s="16"/>
      <c r="C119" s="16" t="s">
        <v>198</v>
      </c>
      <c r="E119" s="16">
        <v>49742</v>
      </c>
      <c r="G119" s="3">
        <v>575363</v>
      </c>
      <c r="H119" s="3"/>
      <c r="I119" s="3">
        <v>1199348</v>
      </c>
      <c r="J119" s="3"/>
      <c r="K119" s="3">
        <v>0</v>
      </c>
      <c r="L119" s="3"/>
      <c r="M119" s="32">
        <v>0</v>
      </c>
      <c r="N119" s="3"/>
      <c r="O119" s="3">
        <v>0</v>
      </c>
      <c r="P119" s="3"/>
      <c r="Q119" s="3">
        <v>1459252</v>
      </c>
      <c r="R119" s="3"/>
      <c r="S119" s="3">
        <v>991802</v>
      </c>
      <c r="T119" s="3"/>
      <c r="U119" s="3">
        <v>31836</v>
      </c>
      <c r="V119" s="3"/>
      <c r="W119" s="3">
        <v>531591</v>
      </c>
      <c r="X119" s="3"/>
      <c r="Y119" s="3">
        <v>174518</v>
      </c>
      <c r="Z119" s="3"/>
      <c r="AA119" s="3">
        <v>10290</v>
      </c>
      <c r="AB119" s="3"/>
      <c r="AC119" s="3">
        <v>14624</v>
      </c>
      <c r="AD119" s="3"/>
      <c r="AE119" s="3" t="s">
        <v>417</v>
      </c>
      <c r="AF119" s="16"/>
      <c r="AG119" s="16" t="s">
        <v>198</v>
      </c>
      <c r="AH119" s="16"/>
      <c r="AI119" s="3">
        <v>412</v>
      </c>
      <c r="AJ119" s="3"/>
      <c r="AK119" s="3">
        <v>160549</v>
      </c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v>3268</v>
      </c>
      <c r="AT119" s="3"/>
      <c r="AU119" s="3">
        <v>4320</v>
      </c>
      <c r="AV119" s="3"/>
      <c r="AW119" s="3">
        <v>0</v>
      </c>
      <c r="AX119" s="3"/>
      <c r="AY119" s="3"/>
      <c r="AZ119" s="3"/>
      <c r="BA119" s="3">
        <v>0</v>
      </c>
      <c r="BB119" s="3"/>
      <c r="BC119" s="3">
        <f t="shared" si="13"/>
        <v>5157173</v>
      </c>
      <c r="BD119" s="3"/>
      <c r="BE119" s="3">
        <f>+'St of Act-Rev'!AG119-BC119</f>
        <v>204014</v>
      </c>
      <c r="BF119" s="3"/>
      <c r="BG119" s="3">
        <v>636703</v>
      </c>
      <c r="BH119" s="3"/>
      <c r="BI119" s="3">
        <f t="shared" si="14"/>
        <v>840717</v>
      </c>
      <c r="BJ119" s="3"/>
      <c r="BK119" s="3">
        <f>+'St of Net Assets'!AA119-BI119</f>
        <v>0</v>
      </c>
      <c r="BN119" s="32" t="s">
        <v>418</v>
      </c>
      <c r="BO119" s="3" t="str">
        <f t="shared" si="18"/>
        <v>Shelby County Educ Srv Ctr</v>
      </c>
      <c r="BP119" s="3" t="str">
        <f t="shared" si="15"/>
        <v>Shelby County Educ Srv Ctr</v>
      </c>
      <c r="BQ119" s="16" t="b">
        <f t="shared" si="20"/>
        <v>1</v>
      </c>
      <c r="BS119" s="3" t="str">
        <f t="shared" si="16"/>
        <v>Shelby</v>
      </c>
      <c r="BT119" s="3" t="b">
        <f t="shared" si="17"/>
        <v>1</v>
      </c>
    </row>
    <row r="120" spans="1:72">
      <c r="A120" s="3" t="s">
        <v>275</v>
      </c>
      <c r="B120" s="16"/>
      <c r="C120" s="16" t="s">
        <v>196</v>
      </c>
      <c r="E120" s="16">
        <v>125658</v>
      </c>
      <c r="G120" s="3">
        <v>529732</v>
      </c>
      <c r="H120" s="3"/>
      <c r="I120" s="3">
        <v>3802510</v>
      </c>
      <c r="J120" s="3"/>
      <c r="K120" s="3">
        <v>0</v>
      </c>
      <c r="L120" s="3"/>
      <c r="M120" s="32">
        <v>214947</v>
      </c>
      <c r="N120" s="3"/>
      <c r="O120" s="3">
        <v>0</v>
      </c>
      <c r="P120" s="3"/>
      <c r="Q120" s="3">
        <v>2039674</v>
      </c>
      <c r="R120" s="3"/>
      <c r="S120" s="3">
        <v>1080730</v>
      </c>
      <c r="T120" s="3"/>
      <c r="U120" s="3">
        <v>31443</v>
      </c>
      <c r="V120" s="3"/>
      <c r="W120" s="3">
        <v>697267</v>
      </c>
      <c r="X120" s="3"/>
      <c r="Y120" s="3">
        <v>235368</v>
      </c>
      <c r="Z120" s="3"/>
      <c r="AA120" s="3">
        <v>0</v>
      </c>
      <c r="AB120" s="3"/>
      <c r="AC120" s="3">
        <v>121318</v>
      </c>
      <c r="AD120" s="3"/>
      <c r="AE120" s="3" t="s">
        <v>275</v>
      </c>
      <c r="AF120" s="16"/>
      <c r="AG120" s="16" t="s">
        <v>196</v>
      </c>
      <c r="AH120" s="16"/>
      <c r="AI120" s="3">
        <v>12976</v>
      </c>
      <c r="AJ120" s="3"/>
      <c r="AK120" s="3">
        <v>167700</v>
      </c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0</v>
      </c>
      <c r="AT120" s="3"/>
      <c r="AU120" s="3">
        <v>2635</v>
      </c>
      <c r="AV120" s="3"/>
      <c r="AW120" s="3">
        <v>0</v>
      </c>
      <c r="AX120" s="3"/>
      <c r="AY120" s="3">
        <v>0</v>
      </c>
      <c r="AZ120" s="3"/>
      <c r="BA120" s="3">
        <v>0</v>
      </c>
      <c r="BB120" s="3"/>
      <c r="BC120" s="3">
        <f t="shared" si="13"/>
        <v>8936300</v>
      </c>
      <c r="BD120" s="3"/>
      <c r="BE120" s="3">
        <f>+'St of Act-Rev'!AG120-BC120</f>
        <v>212375</v>
      </c>
      <c r="BF120" s="3"/>
      <c r="BG120" s="3">
        <v>636184</v>
      </c>
      <c r="BH120" s="3"/>
      <c r="BI120" s="3">
        <f t="shared" si="14"/>
        <v>848559</v>
      </c>
      <c r="BJ120" s="3"/>
      <c r="BK120" s="3">
        <f>+'St of Net Assets'!AA120-BI120</f>
        <v>0</v>
      </c>
      <c r="BN120" s="3"/>
      <c r="BO120" s="3" t="str">
        <f t="shared" si="18"/>
        <v>South Central Ohio Educ Srv Ctr</v>
      </c>
      <c r="BP120" s="3" t="str">
        <f t="shared" si="15"/>
        <v>South Central Ohio Educ Srv Ctr</v>
      </c>
      <c r="BQ120" s="16" t="b">
        <f t="shared" si="20"/>
        <v>1</v>
      </c>
      <c r="BS120" s="3" t="str">
        <f t="shared" si="16"/>
        <v>Scioto</v>
      </c>
      <c r="BT120" s="3" t="b">
        <f t="shared" si="17"/>
        <v>1</v>
      </c>
    </row>
    <row r="121" spans="1:72">
      <c r="A121" s="3" t="s">
        <v>274</v>
      </c>
      <c r="B121" s="3"/>
      <c r="C121" s="3" t="s">
        <v>158</v>
      </c>
      <c r="E121" s="16"/>
      <c r="G121" s="3">
        <v>445440</v>
      </c>
      <c r="H121" s="3"/>
      <c r="I121" s="3">
        <v>565670</v>
      </c>
      <c r="J121" s="3"/>
      <c r="K121" s="3">
        <v>0</v>
      </c>
      <c r="L121" s="3"/>
      <c r="M121" s="32">
        <v>0</v>
      </c>
      <c r="N121" s="3"/>
      <c r="O121" s="3">
        <v>0</v>
      </c>
      <c r="P121" s="3"/>
      <c r="Q121" s="3">
        <v>359729</v>
      </c>
      <c r="R121" s="3"/>
      <c r="S121" s="3">
        <v>1201353</v>
      </c>
      <c r="T121" s="3"/>
      <c r="U121" s="3">
        <v>30089</v>
      </c>
      <c r="V121" s="3"/>
      <c r="W121" s="3">
        <v>518421</v>
      </c>
      <c r="X121" s="3"/>
      <c r="Y121" s="3">
        <v>233406</v>
      </c>
      <c r="Z121" s="3"/>
      <c r="AA121" s="3">
        <v>0</v>
      </c>
      <c r="AB121" s="3"/>
      <c r="AC121" s="3">
        <v>63518</v>
      </c>
      <c r="AD121" s="3"/>
      <c r="AE121" s="3" t="s">
        <v>274</v>
      </c>
      <c r="AF121" s="3"/>
      <c r="AG121" s="3" t="s">
        <v>158</v>
      </c>
      <c r="AH121" s="3"/>
      <c r="AI121" s="3">
        <v>0</v>
      </c>
      <c r="AJ121" s="3"/>
      <c r="AK121" s="3">
        <v>239019</v>
      </c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>
        <v>0</v>
      </c>
      <c r="AX121" s="3"/>
      <c r="AY121" s="3">
        <v>0</v>
      </c>
      <c r="AZ121" s="3"/>
      <c r="BA121" s="3">
        <v>0</v>
      </c>
      <c r="BB121" s="3"/>
      <c r="BC121" s="3">
        <f>SUM(G121:BB121)</f>
        <v>3656645</v>
      </c>
      <c r="BD121" s="3"/>
      <c r="BE121" s="3">
        <f>+'St of Act-Rev'!AG121-BC121</f>
        <v>-7704</v>
      </c>
      <c r="BF121" s="3"/>
      <c r="BG121" s="3">
        <v>2800556</v>
      </c>
      <c r="BH121" s="3"/>
      <c r="BI121" s="3">
        <f>+BE121+BG121</f>
        <v>2792852</v>
      </c>
      <c r="BJ121" s="3"/>
      <c r="BK121" s="3">
        <f>+'St of Net Assets'!AA121-BI121</f>
        <v>0</v>
      </c>
      <c r="BN121" s="19"/>
      <c r="BO121" s="3" t="str">
        <f t="shared" si="18"/>
        <v>Southern Ohio Educ Srv Ctr</v>
      </c>
      <c r="BP121" s="3" t="str">
        <f t="shared" si="15"/>
        <v>Southern Ohio Educ Srv Ctr</v>
      </c>
      <c r="BQ121" s="16" t="b">
        <f t="shared" si="20"/>
        <v>1</v>
      </c>
      <c r="BS121" s="3" t="str">
        <f t="shared" si="16"/>
        <v>Clinton</v>
      </c>
      <c r="BT121" s="3" t="b">
        <f t="shared" si="17"/>
        <v>1</v>
      </c>
    </row>
    <row r="122" spans="1:72">
      <c r="A122" s="16" t="s">
        <v>419</v>
      </c>
      <c r="B122" s="16"/>
      <c r="C122" s="16" t="s">
        <v>199</v>
      </c>
      <c r="E122" s="16">
        <v>49825</v>
      </c>
      <c r="G122" s="3">
        <v>87778</v>
      </c>
      <c r="H122" s="3"/>
      <c r="I122" s="3">
        <v>4876351</v>
      </c>
      <c r="J122" s="3"/>
      <c r="K122" s="3">
        <v>0</v>
      </c>
      <c r="L122" s="3"/>
      <c r="M122" s="32">
        <v>0</v>
      </c>
      <c r="N122" s="3"/>
      <c r="O122" s="3">
        <v>0</v>
      </c>
      <c r="P122" s="3"/>
      <c r="Q122" s="3">
        <v>3372218</v>
      </c>
      <c r="R122" s="3"/>
      <c r="S122" s="3">
        <v>6476549</v>
      </c>
      <c r="T122" s="3"/>
      <c r="U122" s="3">
        <v>6452</v>
      </c>
      <c r="V122" s="3"/>
      <c r="W122" s="3">
        <v>3567349</v>
      </c>
      <c r="X122" s="3"/>
      <c r="Y122" s="3">
        <v>466695</v>
      </c>
      <c r="Z122" s="3"/>
      <c r="AA122" s="3">
        <v>649352</v>
      </c>
      <c r="AB122" s="3"/>
      <c r="AC122" s="3">
        <v>570406</v>
      </c>
      <c r="AD122" s="3"/>
      <c r="AE122" s="16" t="s">
        <v>419</v>
      </c>
      <c r="AF122" s="16"/>
      <c r="AG122" s="16" t="s">
        <v>199</v>
      </c>
      <c r="AH122" s="16"/>
      <c r="AI122" s="3">
        <v>68680</v>
      </c>
      <c r="AJ122" s="3"/>
      <c r="AK122" s="3">
        <v>120604</v>
      </c>
      <c r="AL122" s="3"/>
      <c r="AM122" s="3">
        <v>0</v>
      </c>
      <c r="AN122" s="3"/>
      <c r="AO122" s="3">
        <v>32556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/>
      <c r="AZ122" s="3"/>
      <c r="BA122" s="3">
        <v>0</v>
      </c>
      <c r="BB122" s="3"/>
      <c r="BC122" s="3">
        <f t="shared" si="13"/>
        <v>20294990</v>
      </c>
      <c r="BD122" s="3"/>
      <c r="BE122" s="3">
        <f>+'St of Act-Rev'!AG122-BC122</f>
        <v>-561462</v>
      </c>
      <c r="BF122" s="3"/>
      <c r="BG122" s="3">
        <v>2688233</v>
      </c>
      <c r="BH122" s="3"/>
      <c r="BI122" s="3">
        <f t="shared" si="14"/>
        <v>2126771</v>
      </c>
      <c r="BJ122" s="3"/>
      <c r="BK122" s="3">
        <f>+'St of Net Assets'!AA122-BI122</f>
        <v>0</v>
      </c>
      <c r="BN122" s="30"/>
      <c r="BO122" s="3" t="str">
        <f t="shared" si="18"/>
        <v xml:space="preserve">Stark County Educ Srv Ctr  </v>
      </c>
      <c r="BP122" s="3" t="str">
        <f t="shared" si="15"/>
        <v xml:space="preserve">Stark County Educ Srv Ctr  </v>
      </c>
      <c r="BQ122" s="16" t="b">
        <f t="shared" si="20"/>
        <v>1</v>
      </c>
      <c r="BS122" s="3" t="str">
        <f t="shared" si="16"/>
        <v>Stark</v>
      </c>
      <c r="BT122" s="3" t="b">
        <f t="shared" si="17"/>
        <v>1</v>
      </c>
    </row>
    <row r="123" spans="1:72">
      <c r="A123" s="3" t="s">
        <v>420</v>
      </c>
      <c r="B123" s="16"/>
      <c r="C123" s="16" t="s">
        <v>200</v>
      </c>
      <c r="E123" s="16">
        <v>49965</v>
      </c>
      <c r="G123" s="3">
        <v>923978</v>
      </c>
      <c r="H123" s="3"/>
      <c r="I123" s="3">
        <v>4327833</v>
      </c>
      <c r="J123" s="3"/>
      <c r="K123" s="3">
        <v>88980</v>
      </c>
      <c r="L123" s="3"/>
      <c r="M123" s="32">
        <v>0</v>
      </c>
      <c r="N123" s="3"/>
      <c r="O123" s="3">
        <v>0</v>
      </c>
      <c r="P123" s="3"/>
      <c r="Q123" s="3">
        <v>3136536</v>
      </c>
      <c r="R123" s="3"/>
      <c r="S123" s="3">
        <v>4238057</v>
      </c>
      <c r="T123" s="3"/>
      <c r="U123" s="3">
        <v>59229</v>
      </c>
      <c r="V123" s="3"/>
      <c r="W123" s="3">
        <v>706592</v>
      </c>
      <c r="X123" s="3"/>
      <c r="Y123" s="3">
        <v>317541</v>
      </c>
      <c r="Z123" s="3"/>
      <c r="AA123" s="3">
        <v>47809</v>
      </c>
      <c r="AB123" s="3"/>
      <c r="AC123" s="3">
        <v>316129</v>
      </c>
      <c r="AD123" s="3"/>
      <c r="AE123" s="3" t="s">
        <v>420</v>
      </c>
      <c r="AF123" s="16"/>
      <c r="AG123" s="16" t="s">
        <v>200</v>
      </c>
      <c r="AH123" s="16"/>
      <c r="AI123" s="3">
        <v>0</v>
      </c>
      <c r="AJ123" s="3"/>
      <c r="AK123" s="3">
        <v>200088</v>
      </c>
      <c r="AL123" s="3"/>
      <c r="AM123" s="3">
        <v>0</v>
      </c>
      <c r="AN123" s="3"/>
      <c r="AO123" s="3">
        <v>0</v>
      </c>
      <c r="AP123" s="3"/>
      <c r="AQ123" s="3">
        <v>0</v>
      </c>
      <c r="AR123" s="3"/>
      <c r="AS123" s="3">
        <v>56002</v>
      </c>
      <c r="AT123" s="3"/>
      <c r="AU123" s="3">
        <v>43172</v>
      </c>
      <c r="AV123" s="3"/>
      <c r="AW123" s="3">
        <v>0</v>
      </c>
      <c r="AX123" s="3"/>
      <c r="AY123" s="3"/>
      <c r="AZ123" s="3"/>
      <c r="BA123" s="3">
        <v>0</v>
      </c>
      <c r="BB123" s="3"/>
      <c r="BC123" s="3">
        <f t="shared" si="13"/>
        <v>14461946</v>
      </c>
      <c r="BD123" s="3"/>
      <c r="BE123" s="3">
        <f>+'St of Act-Rev'!AG123-BC123</f>
        <v>-369728</v>
      </c>
      <c r="BF123" s="3"/>
      <c r="BG123" s="3">
        <v>8289689</v>
      </c>
      <c r="BH123" s="3"/>
      <c r="BI123" s="3">
        <f t="shared" si="14"/>
        <v>7919961</v>
      </c>
      <c r="BJ123" s="3"/>
      <c r="BK123" s="3">
        <f>+'St of Net Assets'!AA123-BI123</f>
        <v>0</v>
      </c>
      <c r="BN123" s="32" t="s">
        <v>305</v>
      </c>
      <c r="BO123" s="3" t="str">
        <f t="shared" si="18"/>
        <v>Summit County Educ Srv Ctr</v>
      </c>
      <c r="BP123" s="3" t="str">
        <f t="shared" si="15"/>
        <v>Summit County Educ Srv Ctr</v>
      </c>
      <c r="BQ123" s="16" t="b">
        <f t="shared" si="20"/>
        <v>1</v>
      </c>
      <c r="BS123" s="3" t="str">
        <f t="shared" si="16"/>
        <v>Summit</v>
      </c>
      <c r="BT123" s="3" t="b">
        <f t="shared" si="17"/>
        <v>1</v>
      </c>
    </row>
    <row r="124" spans="1:72">
      <c r="A124" s="3" t="s">
        <v>207</v>
      </c>
      <c r="B124" s="16"/>
      <c r="C124" s="16" t="s">
        <v>208</v>
      </c>
      <c r="E124" s="16">
        <v>50526</v>
      </c>
      <c r="G124" s="3">
        <v>469183</v>
      </c>
      <c r="H124" s="3"/>
      <c r="I124" s="3">
        <v>2844413</v>
      </c>
      <c r="J124" s="3"/>
      <c r="K124" s="3">
        <v>0</v>
      </c>
      <c r="L124" s="3"/>
      <c r="M124" s="32">
        <v>74957</v>
      </c>
      <c r="N124" s="3"/>
      <c r="O124" s="3">
        <v>0</v>
      </c>
      <c r="P124" s="3"/>
      <c r="Q124" s="3">
        <v>4152765</v>
      </c>
      <c r="R124" s="3"/>
      <c r="S124" s="3">
        <v>2045499</v>
      </c>
      <c r="T124" s="3"/>
      <c r="U124" s="3">
        <v>43489</v>
      </c>
      <c r="V124" s="3"/>
      <c r="W124" s="3">
        <v>1219567</v>
      </c>
      <c r="X124" s="3"/>
      <c r="Y124" s="3">
        <v>364774</v>
      </c>
      <c r="Z124" s="3"/>
      <c r="AA124" s="3">
        <v>163493</v>
      </c>
      <c r="AB124" s="3"/>
      <c r="AC124" s="3">
        <v>280599</v>
      </c>
      <c r="AD124" s="3"/>
      <c r="AE124" s="3" t="s">
        <v>207</v>
      </c>
      <c r="AF124" s="16"/>
      <c r="AG124" s="16" t="s">
        <v>208</v>
      </c>
      <c r="AH124" s="16"/>
      <c r="AI124" s="3">
        <v>203451</v>
      </c>
      <c r="AJ124" s="3"/>
      <c r="AK124" s="3">
        <v>1982380</v>
      </c>
      <c r="AL124" s="3"/>
      <c r="AM124" s="3">
        <v>0</v>
      </c>
      <c r="AN124" s="3"/>
      <c r="AO124" s="3">
        <v>0</v>
      </c>
      <c r="AP124" s="3"/>
      <c r="AQ124" s="3">
        <v>692780</v>
      </c>
      <c r="AR124" s="3"/>
      <c r="AS124" s="3">
        <v>0</v>
      </c>
      <c r="AT124" s="3"/>
      <c r="AU124" s="3">
        <v>0</v>
      </c>
      <c r="AV124" s="3"/>
      <c r="AW124" s="3">
        <v>0</v>
      </c>
      <c r="AX124" s="3"/>
      <c r="AY124" s="3"/>
      <c r="AZ124" s="3"/>
      <c r="BA124" s="3">
        <v>0</v>
      </c>
      <c r="BB124" s="3"/>
      <c r="BC124" s="3">
        <f t="shared" si="13"/>
        <v>14537350</v>
      </c>
      <c r="BD124" s="3"/>
      <c r="BE124" s="3">
        <f>+'St of Act-Rev'!AG124-BC124</f>
        <v>-298654</v>
      </c>
      <c r="BF124" s="3"/>
      <c r="BG124" s="3">
        <v>3308307</v>
      </c>
      <c r="BH124" s="3"/>
      <c r="BI124" s="3">
        <f t="shared" si="14"/>
        <v>3009653</v>
      </c>
      <c r="BJ124" s="3"/>
      <c r="BK124" s="3">
        <f>+'St of Net Assets'!AA124-BI124</f>
        <v>0</v>
      </c>
      <c r="BN124" s="32"/>
      <c r="BO124" s="3" t="str">
        <f t="shared" si="18"/>
        <v>Tri-County Educ Srv Ctr</v>
      </c>
      <c r="BP124" s="3" t="str">
        <f t="shared" si="15"/>
        <v>Tri-County Educ Srv Ctr</v>
      </c>
      <c r="BQ124" s="16" t="b">
        <f t="shared" si="20"/>
        <v>1</v>
      </c>
      <c r="BS124" s="3" t="str">
        <f t="shared" si="16"/>
        <v>Wayne</v>
      </c>
      <c r="BT124" s="3" t="b">
        <f t="shared" si="17"/>
        <v>1</v>
      </c>
    </row>
    <row r="125" spans="1:72">
      <c r="A125" s="3" t="s">
        <v>422</v>
      </c>
      <c r="B125" s="16"/>
      <c r="C125" s="16" t="s">
        <v>201</v>
      </c>
      <c r="E125" s="16">
        <v>50088</v>
      </c>
      <c r="G125" s="3">
        <v>626908</v>
      </c>
      <c r="H125" s="3"/>
      <c r="I125" s="3">
        <v>6089880</v>
      </c>
      <c r="J125" s="3"/>
      <c r="K125" s="3">
        <v>0</v>
      </c>
      <c r="L125" s="3"/>
      <c r="M125" s="32">
        <v>0</v>
      </c>
      <c r="N125" s="3"/>
      <c r="O125" s="3">
        <v>0</v>
      </c>
      <c r="P125" s="3"/>
      <c r="Q125" s="3">
        <v>4158676</v>
      </c>
      <c r="R125" s="3"/>
      <c r="S125" s="3">
        <v>2160139</v>
      </c>
      <c r="T125" s="3"/>
      <c r="U125" s="3">
        <v>90563</v>
      </c>
      <c r="V125" s="3"/>
      <c r="W125" s="3">
        <v>2586739</v>
      </c>
      <c r="X125" s="3"/>
      <c r="Y125" s="3">
        <v>292751</v>
      </c>
      <c r="Z125" s="3"/>
      <c r="AA125" s="3">
        <v>46808</v>
      </c>
      <c r="AB125" s="3"/>
      <c r="AC125" s="3">
        <v>199593</v>
      </c>
      <c r="AD125" s="3"/>
      <c r="AE125" s="3" t="s">
        <v>422</v>
      </c>
      <c r="AF125" s="16"/>
      <c r="AG125" s="16" t="s">
        <v>201</v>
      </c>
      <c r="AH125" s="16"/>
      <c r="AI125" s="3">
        <v>24122</v>
      </c>
      <c r="AJ125" s="3"/>
      <c r="AK125" s="3">
        <v>3000</v>
      </c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v>0</v>
      </c>
      <c r="AT125" s="3"/>
      <c r="AU125" s="3">
        <v>1971</v>
      </c>
      <c r="AV125" s="3"/>
      <c r="AW125" s="3">
        <v>0</v>
      </c>
      <c r="AX125" s="3"/>
      <c r="AY125" s="3"/>
      <c r="AZ125" s="3"/>
      <c r="BA125" s="3">
        <v>0</v>
      </c>
      <c r="BB125" s="3"/>
      <c r="BC125" s="3">
        <f t="shared" si="13"/>
        <v>16281150</v>
      </c>
      <c r="BD125" s="3"/>
      <c r="BE125" s="3">
        <f>+'St of Act-Rev'!AG125-BC125</f>
        <v>-220925</v>
      </c>
      <c r="BF125" s="3"/>
      <c r="BG125" s="3">
        <v>5061979</v>
      </c>
      <c r="BH125" s="3"/>
      <c r="BI125" s="3">
        <f t="shared" si="14"/>
        <v>4841054</v>
      </c>
      <c r="BJ125" s="3"/>
      <c r="BK125" s="3">
        <f>+'St of Net Assets'!AA125-BI125</f>
        <v>0</v>
      </c>
      <c r="BN125" s="3"/>
      <c r="BO125" s="3" t="str">
        <f t="shared" si="18"/>
        <v>Trumbull County Educ Srv Ctr</v>
      </c>
      <c r="BP125" s="3" t="str">
        <f t="shared" si="15"/>
        <v>Trumbull County Educ Srv Ctr</v>
      </c>
      <c r="BQ125" s="16" t="b">
        <f t="shared" si="20"/>
        <v>1</v>
      </c>
      <c r="BS125" s="3" t="str">
        <f t="shared" si="16"/>
        <v>Trumbull</v>
      </c>
      <c r="BT125" s="3" t="b">
        <f t="shared" si="17"/>
        <v>1</v>
      </c>
    </row>
    <row r="126" spans="1:72" s="72" customFormat="1" hidden="1">
      <c r="A126" s="65" t="s">
        <v>342</v>
      </c>
      <c r="B126" s="66"/>
      <c r="C126" s="66" t="s">
        <v>202</v>
      </c>
      <c r="E126" s="66">
        <v>50260</v>
      </c>
      <c r="G126" s="65"/>
      <c r="H126" s="65"/>
      <c r="I126" s="65"/>
      <c r="J126" s="65"/>
      <c r="K126" s="65"/>
      <c r="L126" s="65"/>
      <c r="M126" s="80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 t="s">
        <v>342</v>
      </c>
      <c r="AF126" s="66"/>
      <c r="AG126" s="66" t="s">
        <v>202</v>
      </c>
      <c r="AH126" s="66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>
        <f t="shared" si="13"/>
        <v>0</v>
      </c>
      <c r="BD126" s="65"/>
      <c r="BE126" s="65">
        <f>+'St of Act-Rev'!AG126-BC126</f>
        <v>0</v>
      </c>
      <c r="BF126" s="65"/>
      <c r="BG126" s="65"/>
      <c r="BH126" s="65"/>
      <c r="BI126" s="65">
        <f t="shared" si="14"/>
        <v>0</v>
      </c>
      <c r="BJ126" s="65"/>
      <c r="BK126" s="65">
        <f>+'St of Net Assets'!AA126-BI126</f>
        <v>0</v>
      </c>
      <c r="BL126" s="74"/>
      <c r="BM126" s="74"/>
      <c r="BN126" s="65"/>
      <c r="BO126" s="65" t="str">
        <f t="shared" si="18"/>
        <v>Tuscarawas-Carroll-Harrison Educ Srv Ctr - now East Ctl OH ESC</v>
      </c>
      <c r="BP126" s="65" t="str">
        <f t="shared" si="15"/>
        <v>Tuscarawas-Carroll-Harrison Educ Srv Ctr - now East Ctl OH ESC</v>
      </c>
      <c r="BQ126" s="66" t="b">
        <f t="shared" si="20"/>
        <v>1</v>
      </c>
      <c r="BS126" s="65" t="str">
        <f t="shared" si="16"/>
        <v>Tuscarawas</v>
      </c>
      <c r="BT126" s="65" t="b">
        <f t="shared" si="17"/>
        <v>1</v>
      </c>
    </row>
    <row r="127" spans="1:72" s="72" customFormat="1" hidden="1">
      <c r="A127" s="65" t="s">
        <v>424</v>
      </c>
      <c r="B127" s="66"/>
      <c r="C127" s="66" t="s">
        <v>205</v>
      </c>
      <c r="E127" s="66">
        <v>50401</v>
      </c>
      <c r="G127" s="65"/>
      <c r="H127" s="65"/>
      <c r="I127" s="65"/>
      <c r="J127" s="65"/>
      <c r="K127" s="65"/>
      <c r="L127" s="65"/>
      <c r="M127" s="80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 t="s">
        <v>424</v>
      </c>
      <c r="AF127" s="66"/>
      <c r="AG127" s="66" t="s">
        <v>205</v>
      </c>
      <c r="AH127" s="66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>
        <f t="shared" si="13"/>
        <v>0</v>
      </c>
      <c r="BD127" s="65"/>
      <c r="BE127" s="65">
        <f>+'St of Act-Rev'!AG127-BC127</f>
        <v>0</v>
      </c>
      <c r="BF127" s="65"/>
      <c r="BG127" s="65"/>
      <c r="BH127" s="65"/>
      <c r="BI127" s="65">
        <f t="shared" si="14"/>
        <v>0</v>
      </c>
      <c r="BJ127" s="65"/>
      <c r="BK127" s="65">
        <f>+'St of Net Assets'!AA127-BI127</f>
        <v>0</v>
      </c>
      <c r="BL127" s="74"/>
      <c r="BM127" s="74"/>
      <c r="BN127" s="80" t="s">
        <v>410</v>
      </c>
      <c r="BO127" s="65" t="str">
        <f t="shared" si="18"/>
        <v>Warren County Educ Srv Ctr (CASH)</v>
      </c>
      <c r="BP127" s="65" t="str">
        <f t="shared" si="15"/>
        <v>Warren County Educ Srv Ctr (CASH)</v>
      </c>
      <c r="BQ127" s="66" t="b">
        <f t="shared" si="20"/>
        <v>1</v>
      </c>
      <c r="BS127" s="65" t="str">
        <f t="shared" si="16"/>
        <v>Warren</v>
      </c>
      <c r="BT127" s="65" t="b">
        <f t="shared" si="17"/>
        <v>1</v>
      </c>
    </row>
    <row r="128" spans="1:72" s="72" customFormat="1" hidden="1">
      <c r="A128" s="65" t="s">
        <v>343</v>
      </c>
      <c r="B128" s="66"/>
      <c r="C128" s="66" t="s">
        <v>206</v>
      </c>
      <c r="E128" s="66">
        <v>50476</v>
      </c>
      <c r="G128" s="74"/>
      <c r="H128" s="74"/>
      <c r="I128" s="74"/>
      <c r="J128" s="74"/>
      <c r="K128" s="74"/>
      <c r="L128" s="74"/>
      <c r="M128" s="80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E128" s="65" t="s">
        <v>343</v>
      </c>
      <c r="AF128" s="66"/>
      <c r="AG128" s="66" t="s">
        <v>206</v>
      </c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65"/>
      <c r="BC128" s="65">
        <f t="shared" si="13"/>
        <v>0</v>
      </c>
      <c r="BD128" s="65"/>
      <c r="BE128" s="65">
        <f>+'St of Act-Rev'!AG128-BC128</f>
        <v>0</v>
      </c>
      <c r="BF128" s="65"/>
      <c r="BG128" s="65"/>
      <c r="BH128" s="65"/>
      <c r="BI128" s="65">
        <f t="shared" si="14"/>
        <v>0</v>
      </c>
      <c r="BJ128" s="65"/>
      <c r="BK128" s="65">
        <f>+'St of Net Assets'!AA128-BI128</f>
        <v>0</v>
      </c>
      <c r="BL128" s="74"/>
      <c r="BM128" s="74"/>
      <c r="BN128" s="66"/>
      <c r="BO128" s="65" t="str">
        <f t="shared" si="18"/>
        <v>Washington Educ Srv Ctr - merged with Ohio Valley ESC</v>
      </c>
      <c r="BP128" s="65" t="str">
        <f t="shared" si="15"/>
        <v>Washington Educ Srv Ctr - merged with Ohio Valley ESC</v>
      </c>
      <c r="BQ128" s="66" t="b">
        <f t="shared" si="20"/>
        <v>1</v>
      </c>
      <c r="BS128" s="65" t="str">
        <f t="shared" si="16"/>
        <v>Washington</v>
      </c>
      <c r="BT128" s="65" t="b">
        <f t="shared" si="17"/>
        <v>1</v>
      </c>
    </row>
    <row r="129" spans="1:72">
      <c r="A129" s="3" t="s">
        <v>203</v>
      </c>
      <c r="B129" s="16"/>
      <c r="C129" s="16" t="s">
        <v>270</v>
      </c>
      <c r="E129" s="16">
        <v>134999</v>
      </c>
      <c r="G129" s="3">
        <v>442860</v>
      </c>
      <c r="H129" s="3"/>
      <c r="I129" s="3">
        <v>1315071</v>
      </c>
      <c r="J129" s="3"/>
      <c r="K129" s="3">
        <v>0</v>
      </c>
      <c r="L129" s="3"/>
      <c r="M129" s="32">
        <v>0</v>
      </c>
      <c r="N129" s="3"/>
      <c r="O129" s="3">
        <v>0</v>
      </c>
      <c r="P129" s="3"/>
      <c r="Q129" s="3">
        <v>1154500</v>
      </c>
      <c r="R129" s="3"/>
      <c r="S129" s="3">
        <v>1198226</v>
      </c>
      <c r="T129" s="3"/>
      <c r="U129" s="3">
        <v>51413</v>
      </c>
      <c r="V129" s="3"/>
      <c r="W129" s="3">
        <v>483968</v>
      </c>
      <c r="X129" s="3"/>
      <c r="Y129" s="3">
        <v>102636</v>
      </c>
      <c r="Z129" s="3"/>
      <c r="AA129" s="3">
        <v>0</v>
      </c>
      <c r="AB129" s="3"/>
      <c r="AC129" s="3">
        <v>28601</v>
      </c>
      <c r="AD129" s="3"/>
      <c r="AE129" s="3" t="s">
        <v>203</v>
      </c>
      <c r="AF129" s="16"/>
      <c r="AG129" s="16" t="s">
        <v>270</v>
      </c>
      <c r="AH129" s="16"/>
      <c r="AI129" s="3">
        <v>0</v>
      </c>
      <c r="AJ129" s="3"/>
      <c r="AK129" s="3">
        <v>41470</v>
      </c>
      <c r="AL129" s="3"/>
      <c r="AM129" s="3">
        <v>0</v>
      </c>
      <c r="AN129" s="3"/>
      <c r="AO129" s="3">
        <v>0</v>
      </c>
      <c r="AP129" s="3"/>
      <c r="AQ129" s="3">
        <v>445</v>
      </c>
      <c r="AR129" s="3"/>
      <c r="AS129" s="3">
        <v>0</v>
      </c>
      <c r="AT129" s="3"/>
      <c r="AU129" s="3">
        <v>0</v>
      </c>
      <c r="AV129" s="3"/>
      <c r="AW129" s="3">
        <v>0</v>
      </c>
      <c r="AX129" s="3"/>
      <c r="AY129" s="3">
        <v>0</v>
      </c>
      <c r="AZ129" s="3"/>
      <c r="BA129" s="3">
        <v>413405</v>
      </c>
      <c r="BB129" s="3"/>
      <c r="BC129" s="3">
        <f>SUM(G129:BB129)</f>
        <v>5232595</v>
      </c>
      <c r="BD129" s="3"/>
      <c r="BE129" s="3">
        <f>+'St of Act-Rev'!AG129-BC129</f>
        <v>-135989</v>
      </c>
      <c r="BF129" s="3"/>
      <c r="BG129" s="3">
        <v>414918</v>
      </c>
      <c r="BH129" s="3"/>
      <c r="BI129" s="3">
        <f t="shared" si="14"/>
        <v>278929</v>
      </c>
      <c r="BJ129" s="3"/>
      <c r="BK129" s="3">
        <f>+'St of Net Assets'!AA129-BI129</f>
        <v>0</v>
      </c>
      <c r="BN129" s="3"/>
      <c r="BO129" s="3" t="str">
        <f t="shared" si="18"/>
        <v>Western Buckeye Educ Srv Ctr</v>
      </c>
      <c r="BP129" s="3" t="str">
        <f t="shared" si="15"/>
        <v>Western Buckeye Educ Srv Ctr</v>
      </c>
      <c r="BQ129" s="16" t="b">
        <f t="shared" si="20"/>
        <v>1</v>
      </c>
      <c r="BS129" s="3" t="str">
        <f t="shared" si="16"/>
        <v>Paulding</v>
      </c>
      <c r="BT129" s="3" t="b">
        <f t="shared" si="17"/>
        <v>1</v>
      </c>
    </row>
    <row r="130" spans="1:72">
      <c r="A130" s="3" t="s">
        <v>423</v>
      </c>
      <c r="B130" s="16"/>
      <c r="C130" s="16" t="s">
        <v>209</v>
      </c>
      <c r="E130" s="16">
        <v>50666</v>
      </c>
      <c r="G130" s="3">
        <v>1561668</v>
      </c>
      <c r="H130" s="3"/>
      <c r="I130" s="3">
        <v>4920929</v>
      </c>
      <c r="J130" s="3"/>
      <c r="K130" s="3">
        <v>0</v>
      </c>
      <c r="L130" s="3"/>
      <c r="M130" s="32">
        <v>14187</v>
      </c>
      <c r="N130" s="3"/>
      <c r="O130" s="3">
        <v>0</v>
      </c>
      <c r="P130" s="3"/>
      <c r="Q130" s="3">
        <v>3031526</v>
      </c>
      <c r="R130" s="3"/>
      <c r="S130" s="3">
        <v>3270524</v>
      </c>
      <c r="T130" s="3"/>
      <c r="U130" s="3">
        <v>30196</v>
      </c>
      <c r="V130" s="3"/>
      <c r="W130" s="3">
        <v>1865261</v>
      </c>
      <c r="X130" s="3"/>
      <c r="Y130" s="3">
        <v>740970</v>
      </c>
      <c r="Z130" s="3"/>
      <c r="AA130" s="3">
        <v>0</v>
      </c>
      <c r="AB130" s="3"/>
      <c r="AC130" s="3">
        <v>117272</v>
      </c>
      <c r="AD130" s="3"/>
      <c r="AE130" s="3" t="s">
        <v>423</v>
      </c>
      <c r="AF130" s="16"/>
      <c r="AG130" s="16" t="s">
        <v>209</v>
      </c>
      <c r="AH130" s="16"/>
      <c r="AI130" s="3">
        <v>77118</v>
      </c>
      <c r="AJ130" s="3"/>
      <c r="AK130" s="3">
        <v>370579</v>
      </c>
      <c r="AL130" s="3"/>
      <c r="AM130" s="3">
        <v>0</v>
      </c>
      <c r="AN130" s="3"/>
      <c r="AO130" s="3">
        <v>0</v>
      </c>
      <c r="AP130" s="3"/>
      <c r="AQ130" s="3">
        <v>20080</v>
      </c>
      <c r="AR130" s="3"/>
      <c r="AS130" s="3">
        <v>0</v>
      </c>
      <c r="AT130" s="3"/>
      <c r="AU130" s="3">
        <v>0</v>
      </c>
      <c r="AV130" s="3"/>
      <c r="AW130" s="3">
        <v>0</v>
      </c>
      <c r="AX130" s="3"/>
      <c r="AY130" s="3">
        <v>0</v>
      </c>
      <c r="AZ130" s="3"/>
      <c r="BA130" s="3">
        <v>149410</v>
      </c>
      <c r="BB130" s="3"/>
      <c r="BC130" s="3">
        <f t="shared" si="13"/>
        <v>16169720</v>
      </c>
      <c r="BD130" s="3"/>
      <c r="BE130" s="3">
        <f>+'St of Act-Rev'!AG130-BC130</f>
        <v>-27596</v>
      </c>
      <c r="BF130" s="3"/>
      <c r="BG130" s="3">
        <v>6055372</v>
      </c>
      <c r="BH130" s="3"/>
      <c r="BI130" s="3">
        <f t="shared" si="14"/>
        <v>6027776</v>
      </c>
      <c r="BJ130" s="3"/>
      <c r="BK130" s="3">
        <f>+'St of Net Assets'!AA130-BI130</f>
        <v>0</v>
      </c>
      <c r="BN130" s="3"/>
      <c r="BO130" s="3" t="str">
        <f t="shared" si="18"/>
        <v>Wood County Educ Srv Ctr</v>
      </c>
      <c r="BP130" s="3" t="str">
        <f t="shared" si="15"/>
        <v>Wood County Educ Srv Ctr</v>
      </c>
      <c r="BQ130" s="16" t="b">
        <f t="shared" si="20"/>
        <v>1</v>
      </c>
      <c r="BS130" s="3" t="str">
        <f t="shared" si="16"/>
        <v>Wood</v>
      </c>
      <c r="BT130" s="3" t="b">
        <f t="shared" si="17"/>
        <v>1</v>
      </c>
    </row>
    <row r="131" spans="1:72">
      <c r="A131" s="3"/>
      <c r="G131" s="3"/>
      <c r="M131" s="32"/>
    </row>
    <row r="132" spans="1:7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AC132" s="39" t="s">
        <v>266</v>
      </c>
    </row>
    <row r="133" spans="1:72">
      <c r="M133" s="32"/>
    </row>
    <row r="134" spans="1:72">
      <c r="M134" s="32"/>
    </row>
    <row r="135" spans="1:72">
      <c r="M135" s="32"/>
    </row>
    <row r="136" spans="1:72">
      <c r="M136" s="32"/>
    </row>
    <row r="137" spans="1:72">
      <c r="M137" s="32"/>
    </row>
    <row r="138" spans="1:72">
      <c r="G138" s="3"/>
      <c r="H138" s="3"/>
      <c r="I138" s="3"/>
      <c r="J138" s="3"/>
      <c r="K138" s="3"/>
      <c r="L138" s="3"/>
      <c r="M138" s="3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6"/>
      <c r="AF138" s="16"/>
      <c r="AG138" s="16"/>
      <c r="AH138" s="16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72">
      <c r="M139" s="32"/>
    </row>
    <row r="140" spans="1:72">
      <c r="M140" s="32"/>
    </row>
    <row r="141" spans="1:72">
      <c r="M141" s="32"/>
    </row>
    <row r="142" spans="1:72">
      <c r="M142" s="32"/>
    </row>
    <row r="143" spans="1:72">
      <c r="M143" s="32"/>
    </row>
    <row r="144" spans="1:72">
      <c r="M144" s="32"/>
    </row>
    <row r="145" spans="13:13">
      <c r="M145" s="32"/>
    </row>
    <row r="146" spans="13:13">
      <c r="M146" s="32">
        <v>18747</v>
      </c>
    </row>
    <row r="147" spans="13:13">
      <c r="M147" s="32"/>
    </row>
    <row r="148" spans="13:13">
      <c r="M148" s="32"/>
    </row>
    <row r="149" spans="13:13">
      <c r="M149" s="32"/>
    </row>
    <row r="150" spans="13:13">
      <c r="M150" s="32"/>
    </row>
    <row r="151" spans="13:13">
      <c r="M151" s="32"/>
    </row>
    <row r="152" spans="13:13">
      <c r="M152" s="32"/>
    </row>
    <row r="153" spans="13:13">
      <c r="M153" s="32"/>
    </row>
    <row r="154" spans="13:13">
      <c r="M154" s="32"/>
    </row>
    <row r="155" spans="13:13">
      <c r="M155" s="78"/>
    </row>
    <row r="156" spans="13:13">
      <c r="M156" s="32"/>
    </row>
    <row r="157" spans="13:13">
      <c r="M157" s="32"/>
    </row>
    <row r="158" spans="13:13">
      <c r="M158" s="32"/>
    </row>
    <row r="159" spans="13:13">
      <c r="M159" s="32"/>
    </row>
    <row r="160" spans="13:13">
      <c r="M160" s="32"/>
    </row>
    <row r="161" spans="13:13">
      <c r="M161" s="32"/>
    </row>
    <row r="162" spans="13:13">
      <c r="M162" s="32"/>
    </row>
    <row r="163" spans="13:13">
      <c r="M163" s="32"/>
    </row>
    <row r="164" spans="13:13">
      <c r="M164" s="32"/>
    </row>
    <row r="165" spans="13:13">
      <c r="M165" s="32"/>
    </row>
    <row r="166" spans="13:13">
      <c r="M166" s="32"/>
    </row>
    <row r="167" spans="13:13">
      <c r="M167" s="32"/>
    </row>
    <row r="168" spans="13:13">
      <c r="M168" s="32"/>
    </row>
    <row r="169" spans="13:13">
      <c r="M169" s="32"/>
    </row>
    <row r="170" spans="13:13">
      <c r="M170" s="32"/>
    </row>
    <row r="171" spans="13:13">
      <c r="M171" s="32"/>
    </row>
    <row r="172" spans="13:13">
      <c r="M172" s="32"/>
    </row>
    <row r="173" spans="13:13">
      <c r="M173" s="32"/>
    </row>
    <row r="174" spans="13:13">
      <c r="M174" s="32"/>
    </row>
    <row r="175" spans="13:13">
      <c r="M175" s="32"/>
    </row>
    <row r="176" spans="13:13">
      <c r="M176" s="32"/>
    </row>
    <row r="177" spans="13:13">
      <c r="M177" s="32"/>
    </row>
    <row r="178" spans="13:13">
      <c r="M178" s="32"/>
    </row>
    <row r="179" spans="13:13">
      <c r="M179" s="32"/>
    </row>
    <row r="180" spans="13:13">
      <c r="M180" s="32"/>
    </row>
    <row r="181" spans="13:13">
      <c r="M181" s="32"/>
    </row>
    <row r="182" spans="13:13">
      <c r="M182" s="32"/>
    </row>
    <row r="183" spans="13:13">
      <c r="M183" s="32"/>
    </row>
    <row r="184" spans="13:13">
      <c r="M184" s="32"/>
    </row>
    <row r="185" spans="13:13">
      <c r="M185" s="32"/>
    </row>
    <row r="186" spans="13:13">
      <c r="M186" s="32"/>
    </row>
    <row r="187" spans="13:13">
      <c r="M187" s="32"/>
    </row>
    <row r="188" spans="13:13">
      <c r="M188" s="32"/>
    </row>
    <row r="189" spans="13:13">
      <c r="M189" s="32"/>
    </row>
    <row r="190" spans="13:13">
      <c r="M190" s="32"/>
    </row>
    <row r="191" spans="13:13">
      <c r="M191" s="32"/>
    </row>
    <row r="192" spans="13:13">
      <c r="M192" s="32"/>
    </row>
    <row r="193" spans="13:13">
      <c r="M193" s="32"/>
    </row>
    <row r="194" spans="13:13">
      <c r="M194" s="32"/>
    </row>
    <row r="195" spans="13:13">
      <c r="M195" s="32"/>
    </row>
    <row r="196" spans="13:13">
      <c r="M196" s="32"/>
    </row>
    <row r="197" spans="13:13">
      <c r="M197" s="32"/>
    </row>
    <row r="198" spans="13:13">
      <c r="M198" s="32"/>
    </row>
    <row r="199" spans="13:13">
      <c r="M199" s="32"/>
    </row>
    <row r="200" spans="13:13">
      <c r="M200" s="32"/>
    </row>
    <row r="201" spans="13:13">
      <c r="M201" s="32"/>
    </row>
    <row r="202" spans="13:13">
      <c r="M202" s="78"/>
    </row>
    <row r="203" spans="13:13">
      <c r="M203" s="32"/>
    </row>
    <row r="204" spans="13:13">
      <c r="M204" s="32"/>
    </row>
    <row r="205" spans="13:13">
      <c r="M205" s="32"/>
    </row>
    <row r="206" spans="13:13">
      <c r="M206" s="32"/>
    </row>
    <row r="207" spans="13:13">
      <c r="M207" s="32"/>
    </row>
    <row r="208" spans="13:13">
      <c r="M208" s="32"/>
    </row>
    <row r="209" spans="13:13">
      <c r="M209" s="32"/>
    </row>
    <row r="210" spans="13:13">
      <c r="M210" s="32"/>
    </row>
    <row r="211" spans="13:13">
      <c r="M211" s="32"/>
    </row>
    <row r="212" spans="13:13">
      <c r="M212" s="32"/>
    </row>
    <row r="213" spans="13:13">
      <c r="M213" s="32"/>
    </row>
    <row r="214" spans="13:13">
      <c r="M214" s="32"/>
    </row>
    <row r="215" spans="13:13">
      <c r="M215" s="32"/>
    </row>
    <row r="216" spans="13:13">
      <c r="M216" s="32"/>
    </row>
    <row r="217" spans="13:13">
      <c r="M217" s="32"/>
    </row>
    <row r="218" spans="13:13">
      <c r="M218" s="32"/>
    </row>
    <row r="219" spans="13:13">
      <c r="M219" s="32"/>
    </row>
    <row r="220" spans="13:13">
      <c r="M220" s="32"/>
    </row>
    <row r="221" spans="13:13">
      <c r="M221" s="32"/>
    </row>
    <row r="222" spans="13:13">
      <c r="M222" s="32"/>
    </row>
    <row r="223" spans="13:13">
      <c r="M223" s="32"/>
    </row>
    <row r="224" spans="13:13">
      <c r="M224" s="32"/>
    </row>
    <row r="225" spans="13:13">
      <c r="M225" s="32"/>
    </row>
    <row r="226" spans="13:13">
      <c r="M226" s="32"/>
    </row>
    <row r="227" spans="13:13">
      <c r="M227" s="32"/>
    </row>
    <row r="228" spans="13:13">
      <c r="M228" s="32"/>
    </row>
    <row r="229" spans="13:13">
      <c r="M229" s="32"/>
    </row>
    <row r="230" spans="13:13">
      <c r="M230" s="32"/>
    </row>
    <row r="231" spans="13:13">
      <c r="M231" s="78"/>
    </row>
    <row r="232" spans="13:13">
      <c r="M232" s="32"/>
    </row>
    <row r="233" spans="13:13">
      <c r="M233" s="32"/>
    </row>
    <row r="234" spans="13:13">
      <c r="M234" s="32"/>
    </row>
    <row r="235" spans="13:13">
      <c r="M235" s="32"/>
    </row>
    <row r="236" spans="13:13">
      <c r="M236" s="32"/>
    </row>
    <row r="237" spans="13:13">
      <c r="M237" s="32"/>
    </row>
    <row r="238" spans="13:13">
      <c r="M238" s="32"/>
    </row>
    <row r="239" spans="13:13">
      <c r="M239" s="32"/>
    </row>
    <row r="240" spans="13:13">
      <c r="M240" s="32"/>
    </row>
    <row r="241" spans="13:13">
      <c r="M241" s="32"/>
    </row>
    <row r="242" spans="13:13">
      <c r="M242" s="32"/>
    </row>
    <row r="243" spans="13:13">
      <c r="M243" s="32"/>
    </row>
    <row r="244" spans="13:13">
      <c r="M244" s="32"/>
    </row>
    <row r="245" spans="13:13">
      <c r="M245" s="32"/>
    </row>
    <row r="246" spans="13:13">
      <c r="M246" s="32"/>
    </row>
    <row r="247" spans="13:13">
      <c r="M247" s="32"/>
    </row>
    <row r="248" spans="13:13">
      <c r="M248" s="32"/>
    </row>
    <row r="249" spans="13:13">
      <c r="M249" s="32"/>
    </row>
    <row r="250" spans="13:13">
      <c r="M250" s="32"/>
    </row>
    <row r="251" spans="13:13">
      <c r="M251" s="32"/>
    </row>
    <row r="252" spans="13:13">
      <c r="M252" s="32"/>
    </row>
    <row r="253" spans="13:13">
      <c r="M253" s="32"/>
    </row>
    <row r="254" spans="13:13">
      <c r="M254" s="32"/>
    </row>
    <row r="255" spans="13:13">
      <c r="M255" s="32"/>
    </row>
    <row r="256" spans="13:13">
      <c r="M256" s="32"/>
    </row>
    <row r="257" spans="13:13">
      <c r="M257" s="32"/>
    </row>
    <row r="258" spans="13:13">
      <c r="M258" s="32"/>
    </row>
    <row r="259" spans="13:13">
      <c r="M259" s="32"/>
    </row>
    <row r="260" spans="13:13">
      <c r="M260" s="32"/>
    </row>
    <row r="261" spans="13:13">
      <c r="M261" s="32"/>
    </row>
    <row r="262" spans="13:13">
      <c r="M262" s="32"/>
    </row>
    <row r="263" spans="13:13">
      <c r="M263" s="32"/>
    </row>
    <row r="264" spans="13:13">
      <c r="M264" s="32"/>
    </row>
    <row r="265" spans="13:13">
      <c r="M265" s="32"/>
    </row>
    <row r="266" spans="13:13">
      <c r="M266" s="32"/>
    </row>
    <row r="267" spans="13:13">
      <c r="M267" s="32"/>
    </row>
    <row r="268" spans="13:13">
      <c r="M268" s="32"/>
    </row>
    <row r="269" spans="13:13">
      <c r="M269" s="32"/>
    </row>
    <row r="270" spans="13:13">
      <c r="M270" s="32"/>
    </row>
    <row r="271" spans="13:13">
      <c r="M271" s="32"/>
    </row>
    <row r="272" spans="13:13">
      <c r="M272" s="32"/>
    </row>
    <row r="273" spans="13:13">
      <c r="M273" s="32"/>
    </row>
    <row r="274" spans="13:13">
      <c r="M274" s="32"/>
    </row>
    <row r="275" spans="13:13">
      <c r="M275" s="32"/>
    </row>
    <row r="276" spans="13:13">
      <c r="M276" s="32"/>
    </row>
    <row r="277" spans="13:13">
      <c r="M277" s="32"/>
    </row>
    <row r="278" spans="13:13">
      <c r="M278" s="32"/>
    </row>
    <row r="279" spans="13:13">
      <c r="M279" s="32"/>
    </row>
    <row r="280" spans="13:13">
      <c r="M280" s="32"/>
    </row>
    <row r="281" spans="13:13">
      <c r="M281" s="32"/>
    </row>
    <row r="282" spans="13:13">
      <c r="M282" s="32"/>
    </row>
    <row r="283" spans="13:13">
      <c r="M283" s="32"/>
    </row>
    <row r="284" spans="13:13">
      <c r="M284" s="32"/>
    </row>
    <row r="285" spans="13:13">
      <c r="M285" s="32"/>
    </row>
    <row r="286" spans="13:13">
      <c r="M286" s="32"/>
    </row>
    <row r="287" spans="13:13">
      <c r="M287" s="32"/>
    </row>
    <row r="288" spans="13:13">
      <c r="M288" s="32"/>
    </row>
    <row r="289" spans="13:13">
      <c r="M289" s="32"/>
    </row>
    <row r="290" spans="13:13">
      <c r="M290" s="32"/>
    </row>
    <row r="291" spans="13:13">
      <c r="M291" s="32"/>
    </row>
    <row r="292" spans="13:13">
      <c r="M292" s="32"/>
    </row>
    <row r="293" spans="13:13">
      <c r="M293" s="32"/>
    </row>
    <row r="294" spans="13:13">
      <c r="M294" s="32"/>
    </row>
    <row r="295" spans="13:13">
      <c r="M295" s="32"/>
    </row>
    <row r="296" spans="13:13">
      <c r="M296" s="32"/>
    </row>
    <row r="297" spans="13:13">
      <c r="M297" s="32"/>
    </row>
    <row r="298" spans="13:13">
      <c r="M298" s="32"/>
    </row>
    <row r="299" spans="13:13">
      <c r="M299" s="32"/>
    </row>
    <row r="300" spans="13:13">
      <c r="M300" s="32"/>
    </row>
    <row r="301" spans="13:13">
      <c r="M301" s="32"/>
    </row>
    <row r="302" spans="13:13">
      <c r="M302" s="32"/>
    </row>
    <row r="303" spans="13:13">
      <c r="M303" s="32"/>
    </row>
    <row r="304" spans="13:13">
      <c r="M304" s="78"/>
    </row>
    <row r="305" spans="13:13">
      <c r="M305" s="32"/>
    </row>
    <row r="306" spans="13:13">
      <c r="M306" s="32"/>
    </row>
    <row r="307" spans="13:13">
      <c r="M307" s="32"/>
    </row>
    <row r="308" spans="13:13">
      <c r="M308" s="32"/>
    </row>
    <row r="309" spans="13:13">
      <c r="M309" s="32"/>
    </row>
    <row r="310" spans="13:13">
      <c r="M310" s="32"/>
    </row>
    <row r="311" spans="13:13">
      <c r="M311" s="32"/>
    </row>
    <row r="312" spans="13:13">
      <c r="M312" s="32"/>
    </row>
    <row r="313" spans="13:13">
      <c r="M313" s="32"/>
    </row>
    <row r="314" spans="13:13">
      <c r="M314" s="32"/>
    </row>
    <row r="315" spans="13:13">
      <c r="M315" s="32"/>
    </row>
    <row r="316" spans="13:13">
      <c r="M316" s="32"/>
    </row>
    <row r="317" spans="13:13">
      <c r="M317" s="32"/>
    </row>
    <row r="318" spans="13:13">
      <c r="M318" s="32"/>
    </row>
    <row r="319" spans="13:13">
      <c r="M319" s="32"/>
    </row>
    <row r="320" spans="13:13">
      <c r="M320" s="32"/>
    </row>
    <row r="321" spans="13:13">
      <c r="M321" s="32"/>
    </row>
    <row r="322" spans="13:13">
      <c r="M322" s="32"/>
    </row>
    <row r="323" spans="13:13">
      <c r="M323" s="32"/>
    </row>
    <row r="324" spans="13:13">
      <c r="M324" s="32"/>
    </row>
    <row r="325" spans="13:13">
      <c r="M325" s="32"/>
    </row>
    <row r="326" spans="13:13">
      <c r="M326" s="32"/>
    </row>
    <row r="327" spans="13:13">
      <c r="M327" s="32"/>
    </row>
    <row r="328" spans="13:13">
      <c r="M328" s="32"/>
    </row>
    <row r="329" spans="13:13">
      <c r="M329" s="32"/>
    </row>
    <row r="330" spans="13:13">
      <c r="M330" s="32"/>
    </row>
    <row r="331" spans="13:13">
      <c r="M331" s="32"/>
    </row>
    <row r="332" spans="13:13">
      <c r="M332" s="32"/>
    </row>
    <row r="333" spans="13:13">
      <c r="M333" s="32"/>
    </row>
    <row r="334" spans="13:13">
      <c r="M334" s="32"/>
    </row>
    <row r="335" spans="13:13">
      <c r="M335" s="32"/>
    </row>
    <row r="336" spans="13:13">
      <c r="M336" s="78"/>
    </row>
    <row r="337" spans="13:13">
      <c r="M337" s="32"/>
    </row>
    <row r="338" spans="13:13">
      <c r="M338" s="32"/>
    </row>
    <row r="339" spans="13:13">
      <c r="M339" s="32"/>
    </row>
    <row r="340" spans="13:13">
      <c r="M340" s="32"/>
    </row>
    <row r="341" spans="13:13">
      <c r="M341" s="32"/>
    </row>
    <row r="342" spans="13:13">
      <c r="M342" s="32"/>
    </row>
    <row r="343" spans="13:13">
      <c r="M343" s="32"/>
    </row>
    <row r="344" spans="13:13">
      <c r="M344" s="32"/>
    </row>
    <row r="345" spans="13:13">
      <c r="M345" s="32"/>
    </row>
    <row r="346" spans="13:13">
      <c r="M346" s="32"/>
    </row>
    <row r="347" spans="13:13">
      <c r="M347" s="32"/>
    </row>
    <row r="348" spans="13:13">
      <c r="M348" s="32"/>
    </row>
    <row r="349" spans="13:13">
      <c r="M349" s="32"/>
    </row>
    <row r="350" spans="13:13">
      <c r="M350" s="32"/>
    </row>
    <row r="351" spans="13:13">
      <c r="M351" s="32"/>
    </row>
    <row r="352" spans="13:13">
      <c r="M352" s="32"/>
    </row>
    <row r="353" spans="13:13">
      <c r="M353" s="32"/>
    </row>
    <row r="354" spans="13:13">
      <c r="M354" s="32"/>
    </row>
    <row r="355" spans="13:13">
      <c r="M355" s="32"/>
    </row>
    <row r="356" spans="13:13">
      <c r="M356" s="32"/>
    </row>
    <row r="357" spans="13:13">
      <c r="M357" s="32"/>
    </row>
    <row r="358" spans="13:13">
      <c r="M358" s="32"/>
    </row>
    <row r="359" spans="13:13">
      <c r="M359" s="32"/>
    </row>
    <row r="360" spans="13:13">
      <c r="M360" s="32"/>
    </row>
    <row r="361" spans="13:13">
      <c r="M361" s="32"/>
    </row>
    <row r="362" spans="13:13">
      <c r="M362" s="32"/>
    </row>
    <row r="363" spans="13:13">
      <c r="M363" s="32"/>
    </row>
    <row r="364" spans="13:13">
      <c r="M364" s="32"/>
    </row>
    <row r="365" spans="13:13">
      <c r="M365" s="32"/>
    </row>
    <row r="366" spans="13:13">
      <c r="M366" s="32"/>
    </row>
    <row r="367" spans="13:13">
      <c r="M367" s="32"/>
    </row>
    <row r="368" spans="13:13">
      <c r="M368" s="32"/>
    </row>
    <row r="369" spans="13:13">
      <c r="M369" s="32"/>
    </row>
    <row r="370" spans="13:13">
      <c r="M370" s="32"/>
    </row>
    <row r="371" spans="13:13">
      <c r="M371" s="32"/>
    </row>
    <row r="372" spans="13:13">
      <c r="M372" s="32"/>
    </row>
    <row r="373" spans="13:13">
      <c r="M373" s="32"/>
    </row>
    <row r="374" spans="13:13">
      <c r="M374" s="32"/>
    </row>
    <row r="375" spans="13:13">
      <c r="M375" s="32"/>
    </row>
    <row r="376" spans="13:13">
      <c r="M376" s="32"/>
    </row>
    <row r="377" spans="13:13">
      <c r="M377" s="32"/>
    </row>
    <row r="378" spans="13:13">
      <c r="M378" s="78"/>
    </row>
    <row r="379" spans="13:13">
      <c r="M379" s="32"/>
    </row>
    <row r="380" spans="13:13">
      <c r="M380" s="32"/>
    </row>
    <row r="381" spans="13:13">
      <c r="M381" s="32"/>
    </row>
    <row r="382" spans="13:13">
      <c r="M382" s="32"/>
    </row>
    <row r="383" spans="13:13">
      <c r="M383" s="32"/>
    </row>
    <row r="384" spans="13:13">
      <c r="M384" s="32"/>
    </row>
    <row r="385" spans="13:13">
      <c r="M385" s="32"/>
    </row>
    <row r="386" spans="13:13">
      <c r="M386" s="32"/>
    </row>
    <row r="387" spans="13:13">
      <c r="M387" s="32"/>
    </row>
    <row r="388" spans="13:13">
      <c r="M388" s="32"/>
    </row>
    <row r="389" spans="13:13">
      <c r="M389" s="32"/>
    </row>
    <row r="390" spans="13:13">
      <c r="M390" s="32"/>
    </row>
    <row r="391" spans="13:13">
      <c r="M391" s="32"/>
    </row>
    <row r="392" spans="13:13">
      <c r="M392" s="32"/>
    </row>
    <row r="393" spans="13:13">
      <c r="M393" s="32"/>
    </row>
    <row r="394" spans="13:13">
      <c r="M394" s="32"/>
    </row>
    <row r="395" spans="13:13">
      <c r="M395" s="32"/>
    </row>
    <row r="396" spans="13:13">
      <c r="M396" s="32"/>
    </row>
    <row r="397" spans="13:13">
      <c r="M397" s="32"/>
    </row>
    <row r="398" spans="13:13">
      <c r="M398" s="32"/>
    </row>
    <row r="399" spans="13:13">
      <c r="M399" s="32"/>
    </row>
    <row r="400" spans="13:13">
      <c r="M400" s="32"/>
    </row>
    <row r="401" spans="13:13">
      <c r="M401" s="32"/>
    </row>
    <row r="402" spans="13:13">
      <c r="M402" s="32"/>
    </row>
    <row r="403" spans="13:13">
      <c r="M403" s="32"/>
    </row>
    <row r="404" spans="13:13">
      <c r="M404" s="32"/>
    </row>
    <row r="405" spans="13:13">
      <c r="M405" s="32"/>
    </row>
    <row r="406" spans="13:13">
      <c r="M406" s="32"/>
    </row>
    <row r="407" spans="13:13">
      <c r="M407" s="32"/>
    </row>
    <row r="408" spans="13:13">
      <c r="M408" s="32"/>
    </row>
    <row r="409" spans="13:13">
      <c r="M409" s="32"/>
    </row>
    <row r="410" spans="13:13">
      <c r="M410" s="32"/>
    </row>
    <row r="411" spans="13:13">
      <c r="M411" s="32"/>
    </row>
    <row r="412" spans="13:13">
      <c r="M412" s="32"/>
    </row>
    <row r="413" spans="13:13">
      <c r="M413" s="32"/>
    </row>
    <row r="414" spans="13:13">
      <c r="M414" s="32"/>
    </row>
    <row r="415" spans="13:13">
      <c r="M415" s="32"/>
    </row>
    <row r="416" spans="13:13">
      <c r="M416" s="32"/>
    </row>
    <row r="417" spans="13:13">
      <c r="M417" s="32"/>
    </row>
    <row r="418" spans="13:13">
      <c r="M418" s="32"/>
    </row>
    <row r="419" spans="13:13">
      <c r="M419" s="32"/>
    </row>
    <row r="420" spans="13:13">
      <c r="M420" s="32"/>
    </row>
    <row r="421" spans="13:13">
      <c r="M421" s="32"/>
    </row>
    <row r="422" spans="13:13">
      <c r="M422" s="32"/>
    </row>
    <row r="423" spans="13:13">
      <c r="M423" s="32"/>
    </row>
    <row r="424" spans="13:13">
      <c r="M424" s="32"/>
    </row>
    <row r="425" spans="13:13">
      <c r="M425" s="32"/>
    </row>
    <row r="426" spans="13:13">
      <c r="M426" s="32"/>
    </row>
    <row r="427" spans="13:13">
      <c r="M427" s="32"/>
    </row>
    <row r="428" spans="13:13">
      <c r="M428" s="32"/>
    </row>
    <row r="429" spans="13:13">
      <c r="M429" s="32"/>
    </row>
    <row r="430" spans="13:13">
      <c r="M430" s="32"/>
    </row>
    <row r="431" spans="13:13">
      <c r="M431" s="32"/>
    </row>
    <row r="432" spans="13:13">
      <c r="M432" s="32"/>
    </row>
    <row r="433" spans="13:13">
      <c r="M433" s="32"/>
    </row>
    <row r="434" spans="13:13">
      <c r="M434" s="32"/>
    </row>
    <row r="435" spans="13:13">
      <c r="M435" s="32"/>
    </row>
    <row r="436" spans="13:13">
      <c r="M436" s="32"/>
    </row>
    <row r="437" spans="13:13">
      <c r="M437" s="32"/>
    </row>
    <row r="438" spans="13:13">
      <c r="M438" s="32"/>
    </row>
    <row r="439" spans="13:13">
      <c r="M439" s="32"/>
    </row>
    <row r="440" spans="13:13">
      <c r="M440" s="32"/>
    </row>
    <row r="441" spans="13:13">
      <c r="M441" s="32"/>
    </row>
    <row r="442" spans="13:13">
      <c r="M442" s="32"/>
    </row>
    <row r="443" spans="13:13">
      <c r="M443" s="32"/>
    </row>
    <row r="444" spans="13:13">
      <c r="M444" s="32"/>
    </row>
    <row r="445" spans="13:13">
      <c r="M445" s="32"/>
    </row>
    <row r="446" spans="13:13">
      <c r="M446" s="32"/>
    </row>
    <row r="447" spans="13:13">
      <c r="M447" s="32"/>
    </row>
    <row r="448" spans="13:13">
      <c r="M448" s="32"/>
    </row>
    <row r="449" spans="13:13">
      <c r="M449" s="32"/>
    </row>
    <row r="450" spans="13:13">
      <c r="M450" s="32"/>
    </row>
    <row r="451" spans="13:13">
      <c r="M451" s="32"/>
    </row>
    <row r="452" spans="13:13">
      <c r="M452" s="32"/>
    </row>
    <row r="453" spans="13:13">
      <c r="M453" s="32"/>
    </row>
    <row r="454" spans="13:13">
      <c r="M454" s="32"/>
    </row>
    <row r="455" spans="13:13">
      <c r="M455" s="78"/>
    </row>
    <row r="456" spans="13:13">
      <c r="M456" s="32"/>
    </row>
    <row r="457" spans="13:13">
      <c r="M457" s="32"/>
    </row>
    <row r="458" spans="13:13">
      <c r="M458" s="32"/>
    </row>
    <row r="459" spans="13:13">
      <c r="M459" s="32"/>
    </row>
    <row r="460" spans="13:13">
      <c r="M460" s="32"/>
    </row>
    <row r="461" spans="13:13">
      <c r="M461" s="32"/>
    </row>
    <row r="462" spans="13:13">
      <c r="M462" s="32"/>
    </row>
    <row r="463" spans="13:13">
      <c r="M463" s="32"/>
    </row>
    <row r="464" spans="13:13">
      <c r="M464" s="32"/>
    </row>
    <row r="465" spans="13:13">
      <c r="M465" s="32"/>
    </row>
    <row r="466" spans="13:13">
      <c r="M466" s="32"/>
    </row>
    <row r="467" spans="13:13">
      <c r="M467" s="32"/>
    </row>
    <row r="468" spans="13:13">
      <c r="M468" s="32"/>
    </row>
    <row r="469" spans="13:13">
      <c r="M469" s="32"/>
    </row>
    <row r="470" spans="13:13">
      <c r="M470" s="32"/>
    </row>
    <row r="471" spans="13:13">
      <c r="M471" s="32"/>
    </row>
    <row r="472" spans="13:13">
      <c r="M472" s="32"/>
    </row>
    <row r="473" spans="13:13">
      <c r="M473" s="32"/>
    </row>
    <row r="474" spans="13:13">
      <c r="M474" s="32"/>
    </row>
    <row r="475" spans="13:13">
      <c r="M475" s="32"/>
    </row>
    <row r="476" spans="13:13">
      <c r="M476" s="32"/>
    </row>
    <row r="477" spans="13:13">
      <c r="M477" s="32"/>
    </row>
    <row r="478" spans="13:13">
      <c r="M478" s="32"/>
    </row>
    <row r="479" spans="13:13">
      <c r="M479" s="32"/>
    </row>
    <row r="480" spans="13:13">
      <c r="M480" s="32"/>
    </row>
    <row r="481" spans="13:13">
      <c r="M481" s="32"/>
    </row>
    <row r="482" spans="13:13">
      <c r="M482" s="32"/>
    </row>
    <row r="483" spans="13:13">
      <c r="M483" s="32"/>
    </row>
    <row r="484" spans="13:13">
      <c r="M484" s="32"/>
    </row>
    <row r="485" spans="13:13">
      <c r="M485" s="32"/>
    </row>
    <row r="486" spans="13:13">
      <c r="M486" s="32"/>
    </row>
    <row r="487" spans="13:13">
      <c r="M487" s="32"/>
    </row>
    <row r="488" spans="13:13">
      <c r="M488" s="32"/>
    </row>
    <row r="489" spans="13:13">
      <c r="M489" s="32"/>
    </row>
    <row r="490" spans="13:13">
      <c r="M490" s="32"/>
    </row>
    <row r="491" spans="13:13">
      <c r="M491" s="32"/>
    </row>
    <row r="492" spans="13:13">
      <c r="M492" s="32"/>
    </row>
    <row r="493" spans="13:13">
      <c r="M493" s="32"/>
    </row>
    <row r="494" spans="13:13">
      <c r="M494" s="32"/>
    </row>
    <row r="495" spans="13:13">
      <c r="M495" s="32"/>
    </row>
    <row r="496" spans="13:13">
      <c r="M496" s="32"/>
    </row>
    <row r="497" spans="13:13">
      <c r="M497" s="32"/>
    </row>
    <row r="498" spans="13:13">
      <c r="M498" s="32"/>
    </row>
    <row r="499" spans="13:13">
      <c r="M499" s="32"/>
    </row>
    <row r="500" spans="13:13">
      <c r="M500" s="32"/>
    </row>
    <row r="501" spans="13:13">
      <c r="M501" s="32"/>
    </row>
    <row r="502" spans="13:13">
      <c r="M502" s="32"/>
    </row>
    <row r="503" spans="13:13">
      <c r="M503" s="32"/>
    </row>
    <row r="504" spans="13:13">
      <c r="M504" s="32"/>
    </row>
    <row r="505" spans="13:13">
      <c r="M505" s="32"/>
    </row>
    <row r="506" spans="13:13">
      <c r="M506" s="32"/>
    </row>
    <row r="507" spans="13:13">
      <c r="M507" s="32"/>
    </row>
    <row r="508" spans="13:13">
      <c r="M508" s="32"/>
    </row>
    <row r="509" spans="13:13">
      <c r="M509" s="32"/>
    </row>
    <row r="510" spans="13:13">
      <c r="M510" s="32"/>
    </row>
    <row r="511" spans="13:13">
      <c r="M511" s="32"/>
    </row>
    <row r="512" spans="13:13">
      <c r="M512" s="32"/>
    </row>
    <row r="513" spans="13:13">
      <c r="M513" s="32"/>
    </row>
    <row r="514" spans="13:13">
      <c r="M514" s="32"/>
    </row>
    <row r="515" spans="13:13">
      <c r="M515" s="32"/>
    </row>
    <row r="516" spans="13:13">
      <c r="M516" s="32"/>
    </row>
    <row r="517" spans="13:13">
      <c r="M517" s="32"/>
    </row>
    <row r="518" spans="13:13">
      <c r="M518" s="32"/>
    </row>
    <row r="519" spans="13:13">
      <c r="M519" s="32"/>
    </row>
    <row r="520" spans="13:13">
      <c r="M520" s="32"/>
    </row>
    <row r="521" spans="13:13">
      <c r="M521" s="32"/>
    </row>
    <row r="522" spans="13:13">
      <c r="M522" s="32"/>
    </row>
    <row r="523" spans="13:13">
      <c r="M523" s="78"/>
    </row>
    <row r="524" spans="13:13">
      <c r="M524" s="32"/>
    </row>
    <row r="525" spans="13:13">
      <c r="M525" s="32"/>
    </row>
    <row r="526" spans="13:13">
      <c r="M526" s="32"/>
    </row>
    <row r="527" spans="13:13">
      <c r="M527" s="32"/>
    </row>
    <row r="528" spans="13:13">
      <c r="M528" s="32"/>
    </row>
    <row r="529" spans="13:13">
      <c r="M529" s="32"/>
    </row>
    <row r="530" spans="13:13">
      <c r="M530" s="32"/>
    </row>
    <row r="531" spans="13:13">
      <c r="M531" s="32"/>
    </row>
    <row r="532" spans="13:13">
      <c r="M532" s="32"/>
    </row>
    <row r="533" spans="13:13">
      <c r="M533" s="32"/>
    </row>
    <row r="534" spans="13:13">
      <c r="M534" s="32"/>
    </row>
    <row r="535" spans="13:13">
      <c r="M535" s="32"/>
    </row>
    <row r="536" spans="13:13">
      <c r="M536" s="32"/>
    </row>
    <row r="537" spans="13:13">
      <c r="M537" s="32"/>
    </row>
    <row r="538" spans="13:13">
      <c r="M538" s="32"/>
    </row>
    <row r="539" spans="13:13">
      <c r="M539" s="32"/>
    </row>
    <row r="540" spans="13:13">
      <c r="M540" s="32"/>
    </row>
    <row r="541" spans="13:13">
      <c r="M541" s="32"/>
    </row>
    <row r="542" spans="13:13">
      <c r="M542" s="32"/>
    </row>
    <row r="543" spans="13:13">
      <c r="M543" s="32"/>
    </row>
    <row r="544" spans="13:13">
      <c r="M544" s="32"/>
    </row>
    <row r="545" spans="13:13">
      <c r="M545" s="32"/>
    </row>
    <row r="546" spans="13:13">
      <c r="M546" s="32"/>
    </row>
    <row r="547" spans="13:13">
      <c r="M547" s="32"/>
    </row>
    <row r="548" spans="13:13">
      <c r="M548" s="32"/>
    </row>
    <row r="549" spans="13:13">
      <c r="M549" s="32"/>
    </row>
    <row r="550" spans="13:13">
      <c r="M550" s="32"/>
    </row>
    <row r="551" spans="13:13">
      <c r="M551" s="32"/>
    </row>
    <row r="552" spans="13:13">
      <c r="M552" s="32"/>
    </row>
    <row r="553" spans="13:13">
      <c r="M553" s="32"/>
    </row>
    <row r="554" spans="13:13">
      <c r="M554" s="32"/>
    </row>
    <row r="555" spans="13:13">
      <c r="M555" s="32"/>
    </row>
    <row r="556" spans="13:13">
      <c r="M556" s="32"/>
    </row>
    <row r="557" spans="13:13">
      <c r="M557" s="32"/>
    </row>
    <row r="558" spans="13:13">
      <c r="M558" s="32"/>
    </row>
    <row r="559" spans="13:13">
      <c r="M559" s="32"/>
    </row>
    <row r="560" spans="13:13">
      <c r="M560" s="32"/>
    </row>
    <row r="561" spans="13:13">
      <c r="M561" s="32"/>
    </row>
    <row r="562" spans="13:13">
      <c r="M562" s="32"/>
    </row>
    <row r="563" spans="13:13">
      <c r="M563" s="32"/>
    </row>
    <row r="564" spans="13:13">
      <c r="M564" s="32"/>
    </row>
    <row r="565" spans="13:13">
      <c r="M565" s="32"/>
    </row>
    <row r="566" spans="13:13">
      <c r="M566" s="32"/>
    </row>
    <row r="567" spans="13:13">
      <c r="M567" s="32"/>
    </row>
    <row r="568" spans="13:13">
      <c r="M568" s="32"/>
    </row>
    <row r="569" spans="13:13">
      <c r="M569" s="32"/>
    </row>
    <row r="570" spans="13:13">
      <c r="M570" s="32"/>
    </row>
    <row r="571" spans="13:13">
      <c r="M571" s="32"/>
    </row>
    <row r="572" spans="13:13">
      <c r="M572" s="32"/>
    </row>
    <row r="573" spans="13:13">
      <c r="M573" s="32"/>
    </row>
    <row r="574" spans="13:13">
      <c r="M574" s="32"/>
    </row>
    <row r="575" spans="13:13">
      <c r="M575" s="32"/>
    </row>
    <row r="576" spans="13:13">
      <c r="M576" s="32"/>
    </row>
    <row r="577" spans="13:13">
      <c r="M577" s="32"/>
    </row>
    <row r="578" spans="13:13">
      <c r="M578" s="32"/>
    </row>
    <row r="579" spans="13:13">
      <c r="M579" s="32"/>
    </row>
    <row r="580" spans="13:13">
      <c r="M580" s="32"/>
    </row>
    <row r="581" spans="13:13">
      <c r="M581" s="32"/>
    </row>
    <row r="582" spans="13:13">
      <c r="M582" s="32"/>
    </row>
    <row r="583" spans="13:13">
      <c r="M583" s="32"/>
    </row>
    <row r="584" spans="13:13">
      <c r="M584" s="32"/>
    </row>
    <row r="585" spans="13:13">
      <c r="M585" s="32"/>
    </row>
    <row r="586" spans="13:13">
      <c r="M586" s="32"/>
    </row>
    <row r="587" spans="13:13">
      <c r="M587" s="32"/>
    </row>
    <row r="588" spans="13:13">
      <c r="M588" s="32"/>
    </row>
    <row r="589" spans="13:13">
      <c r="M589" s="32"/>
    </row>
    <row r="590" spans="13:13">
      <c r="M590" s="32"/>
    </row>
    <row r="591" spans="13:13">
      <c r="M591" s="32"/>
    </row>
    <row r="592" spans="13:13">
      <c r="M592" s="32"/>
    </row>
    <row r="593" spans="13:13">
      <c r="M593" s="32"/>
    </row>
    <row r="594" spans="13:13">
      <c r="M594" s="32"/>
    </row>
    <row r="595" spans="13:13">
      <c r="M595" s="78"/>
    </row>
    <row r="596" spans="13:13">
      <c r="M596" s="32"/>
    </row>
    <row r="597" spans="13:13">
      <c r="M597" s="32"/>
    </row>
    <row r="598" spans="13:13">
      <c r="M598" s="32"/>
    </row>
    <row r="599" spans="13:13">
      <c r="M599" s="32"/>
    </row>
    <row r="600" spans="13:13">
      <c r="M600" s="32"/>
    </row>
    <row r="601" spans="13:13">
      <c r="M601" s="32"/>
    </row>
    <row r="602" spans="13:13">
      <c r="M602" s="32"/>
    </row>
    <row r="603" spans="13:13">
      <c r="M603" s="32"/>
    </row>
    <row r="604" spans="13:13">
      <c r="M604" s="32"/>
    </row>
    <row r="605" spans="13:13">
      <c r="M605" s="32"/>
    </row>
    <row r="606" spans="13:13">
      <c r="M606" s="32"/>
    </row>
    <row r="607" spans="13:13">
      <c r="M607" s="32"/>
    </row>
    <row r="608" spans="13:13">
      <c r="M608" s="32"/>
    </row>
    <row r="609" spans="13:13">
      <c r="M609" s="32"/>
    </row>
    <row r="610" spans="13:13">
      <c r="M610" s="32"/>
    </row>
    <row r="611" spans="13:13">
      <c r="M611" s="32"/>
    </row>
    <row r="612" spans="13:13">
      <c r="M612" s="32"/>
    </row>
    <row r="613" spans="13:13">
      <c r="M613" s="32"/>
    </row>
    <row r="614" spans="13:13">
      <c r="M614" s="32"/>
    </row>
    <row r="615" spans="13:13">
      <c r="M615" s="32"/>
    </row>
    <row r="616" spans="13:13">
      <c r="M616" s="32"/>
    </row>
    <row r="617" spans="13:13">
      <c r="M617" s="32"/>
    </row>
    <row r="618" spans="13:13">
      <c r="M618" s="32"/>
    </row>
    <row r="619" spans="13:13">
      <c r="M619" s="32"/>
    </row>
    <row r="620" spans="13:13">
      <c r="M620" s="32"/>
    </row>
    <row r="621" spans="13:13">
      <c r="M621" s="32"/>
    </row>
    <row r="622" spans="13:13">
      <c r="M622" s="33"/>
    </row>
    <row r="623" spans="13:13">
      <c r="M623" s="32"/>
    </row>
    <row r="624" spans="13:13">
      <c r="M624" s="32"/>
    </row>
    <row r="625" spans="13:13">
      <c r="M625" s="32"/>
    </row>
    <row r="626" spans="13:13">
      <c r="M626" s="32"/>
    </row>
    <row r="627" spans="13:13">
      <c r="M627" s="32"/>
    </row>
    <row r="628" spans="13:13">
      <c r="M628" s="32"/>
    </row>
    <row r="629" spans="13:13">
      <c r="M629" s="32"/>
    </row>
    <row r="630" spans="13:13">
      <c r="M630" s="32"/>
    </row>
    <row r="631" spans="13:13">
      <c r="M631" s="32"/>
    </row>
    <row r="632" spans="13:13">
      <c r="M632" s="32"/>
    </row>
    <row r="633" spans="13:13">
      <c r="M633" s="32"/>
    </row>
    <row r="634" spans="13:13">
      <c r="M634" s="32"/>
    </row>
    <row r="635" spans="13:13">
      <c r="M635" s="32"/>
    </row>
    <row r="636" spans="13:13">
      <c r="M636" s="32"/>
    </row>
    <row r="637" spans="13:13">
      <c r="M637" s="32"/>
    </row>
    <row r="638" spans="13:13">
      <c r="M638" s="32"/>
    </row>
    <row r="639" spans="13:13">
      <c r="M639" s="32"/>
    </row>
    <row r="640" spans="13:13">
      <c r="M640" s="32"/>
    </row>
    <row r="641" spans="13:13">
      <c r="M641" s="32"/>
    </row>
    <row r="642" spans="13:13">
      <c r="M642" s="32"/>
    </row>
    <row r="643" spans="13:13">
      <c r="M643" s="32"/>
    </row>
    <row r="644" spans="13:13">
      <c r="M644" s="32"/>
    </row>
    <row r="645" spans="13:13">
      <c r="M645" s="32"/>
    </row>
    <row r="646" spans="13:13">
      <c r="M646" s="32"/>
    </row>
    <row r="647" spans="13:13">
      <c r="M647" s="32"/>
    </row>
    <row r="648" spans="13:13">
      <c r="M648" s="32"/>
    </row>
    <row r="649" spans="13:13">
      <c r="M649" s="32"/>
    </row>
    <row r="650" spans="13:13">
      <c r="M650" s="32"/>
    </row>
    <row r="651" spans="13:13">
      <c r="M651" s="32"/>
    </row>
    <row r="652" spans="13:13">
      <c r="M652" s="32"/>
    </row>
    <row r="653" spans="13:13">
      <c r="M653" s="32"/>
    </row>
    <row r="654" spans="13:13">
      <c r="M654" s="32"/>
    </row>
    <row r="655" spans="13:13">
      <c r="M655" s="32"/>
    </row>
    <row r="656" spans="13:13">
      <c r="M656" s="32"/>
    </row>
    <row r="657" spans="13:13">
      <c r="M657" s="32"/>
    </row>
    <row r="658" spans="13:13">
      <c r="M658" s="32"/>
    </row>
    <row r="659" spans="13:13">
      <c r="M659" s="32"/>
    </row>
    <row r="660" spans="13:13">
      <c r="M660" s="32"/>
    </row>
    <row r="661" spans="13:13">
      <c r="M661" s="32"/>
    </row>
    <row r="662" spans="13:13">
      <c r="M662" s="32"/>
    </row>
    <row r="663" spans="13:13">
      <c r="M663" s="32"/>
    </row>
    <row r="664" spans="13:13">
      <c r="M664" s="32"/>
    </row>
    <row r="665" spans="13:13">
      <c r="M665" s="32"/>
    </row>
    <row r="666" spans="13:13">
      <c r="M666" s="32"/>
    </row>
    <row r="667" spans="13:13">
      <c r="M667" s="32"/>
    </row>
    <row r="668" spans="13:13">
      <c r="M668" s="32"/>
    </row>
    <row r="669" spans="13:13">
      <c r="M669" s="32"/>
    </row>
    <row r="670" spans="13:13">
      <c r="M670" s="32"/>
    </row>
    <row r="671" spans="13:13">
      <c r="M671" s="32"/>
    </row>
    <row r="672" spans="13:13">
      <c r="M672" s="32"/>
    </row>
    <row r="673" spans="13:13">
      <c r="M673" s="32"/>
    </row>
    <row r="674" spans="13:13">
      <c r="M674" s="32"/>
    </row>
    <row r="675" spans="13:13">
      <c r="M675" s="32"/>
    </row>
    <row r="676" spans="13:13">
      <c r="M676" s="32"/>
    </row>
    <row r="677" spans="13:13">
      <c r="M677" s="32"/>
    </row>
    <row r="678" spans="13:13">
      <c r="M678" s="32"/>
    </row>
    <row r="679" spans="13:13">
      <c r="M679" s="32"/>
    </row>
    <row r="680" spans="13:13">
      <c r="M680" s="32"/>
    </row>
    <row r="681" spans="13:13">
      <c r="M681" s="32"/>
    </row>
    <row r="682" spans="13:13">
      <c r="M682" s="32"/>
    </row>
    <row r="683" spans="13:13">
      <c r="M683" s="32"/>
    </row>
    <row r="684" spans="13:13">
      <c r="M684" s="32"/>
    </row>
    <row r="685" spans="13:13">
      <c r="M685" s="32"/>
    </row>
    <row r="686" spans="13:13">
      <c r="M686" s="32"/>
    </row>
    <row r="687" spans="13:13">
      <c r="M687" s="32"/>
    </row>
    <row r="688" spans="13:13">
      <c r="M688" s="32"/>
    </row>
    <row r="689" spans="13:13">
      <c r="M689" s="32"/>
    </row>
    <row r="690" spans="13:13">
      <c r="M690" s="32"/>
    </row>
    <row r="691" spans="13:13">
      <c r="M691" s="32"/>
    </row>
    <row r="692" spans="13:13">
      <c r="M692" s="32"/>
    </row>
    <row r="693" spans="13:13">
      <c r="M693" s="32"/>
    </row>
    <row r="694" spans="13:13">
      <c r="M694" s="32"/>
    </row>
    <row r="695" spans="13:13">
      <c r="M695" s="32"/>
    </row>
    <row r="696" spans="13:13">
      <c r="M696" s="32"/>
    </row>
    <row r="697" spans="13:13">
      <c r="M697" s="32"/>
    </row>
    <row r="698" spans="13:13">
      <c r="M698" s="32"/>
    </row>
    <row r="699" spans="13:13">
      <c r="M699" s="32"/>
    </row>
    <row r="700" spans="13:13">
      <c r="M700" s="32"/>
    </row>
    <row r="701" spans="13:13">
      <c r="M701" s="32"/>
    </row>
    <row r="702" spans="13:13">
      <c r="M702" s="32"/>
    </row>
    <row r="703" spans="13:13">
      <c r="M703" s="32"/>
    </row>
    <row r="704" spans="13:13">
      <c r="M704" s="32"/>
    </row>
    <row r="705" spans="13:13">
      <c r="M705" s="32"/>
    </row>
    <row r="706" spans="13:13">
      <c r="M706" s="32"/>
    </row>
    <row r="707" spans="13:13">
      <c r="M707" s="32"/>
    </row>
    <row r="708" spans="13:13">
      <c r="M708" s="32"/>
    </row>
    <row r="709" spans="13:13">
      <c r="M709" s="32"/>
    </row>
    <row r="710" spans="13:13">
      <c r="M710" s="32"/>
    </row>
    <row r="711" spans="13:13">
      <c r="M711" s="32"/>
    </row>
    <row r="712" spans="13:13">
      <c r="M712" s="32"/>
    </row>
    <row r="713" spans="13:13">
      <c r="M713" s="32"/>
    </row>
    <row r="714" spans="13:13">
      <c r="M714" s="32"/>
    </row>
    <row r="715" spans="13:13">
      <c r="M715" s="32"/>
    </row>
    <row r="716" spans="13:13">
      <c r="M716" s="32"/>
    </row>
    <row r="717" spans="13:13">
      <c r="M717" s="32"/>
    </row>
    <row r="718" spans="13:13">
      <c r="M718" s="32"/>
    </row>
    <row r="719" spans="13:13">
      <c r="M719" s="32"/>
    </row>
    <row r="720" spans="13:13">
      <c r="M720" s="32"/>
    </row>
    <row r="721" spans="13:13">
      <c r="M721" s="32"/>
    </row>
    <row r="722" spans="13:13">
      <c r="M722" s="32"/>
    </row>
    <row r="723" spans="13:13">
      <c r="M723" s="32"/>
    </row>
    <row r="724" spans="13:13">
      <c r="M724" s="32"/>
    </row>
    <row r="725" spans="13:13">
      <c r="M725" s="32"/>
    </row>
    <row r="726" spans="13:13">
      <c r="M726" s="32"/>
    </row>
    <row r="727" spans="13:13">
      <c r="M727" s="32"/>
    </row>
    <row r="728" spans="13:13">
      <c r="M728" s="32"/>
    </row>
    <row r="729" spans="13:13">
      <c r="M729" s="32"/>
    </row>
    <row r="730" spans="13:13">
      <c r="M730" s="32"/>
    </row>
    <row r="731" spans="13:13">
      <c r="M731" s="32"/>
    </row>
    <row r="732" spans="13:13">
      <c r="M732" s="32"/>
    </row>
    <row r="733" spans="13:13">
      <c r="M733" s="32"/>
    </row>
    <row r="734" spans="13:13">
      <c r="M734" s="32"/>
    </row>
    <row r="735" spans="13:13">
      <c r="M735" s="32"/>
    </row>
    <row r="736" spans="13:13">
      <c r="M736" s="32"/>
    </row>
    <row r="737" spans="13:13">
      <c r="M737" s="32"/>
    </row>
    <row r="738" spans="13:13">
      <c r="M738" s="32"/>
    </row>
    <row r="739" spans="13:13">
      <c r="M739" s="32"/>
    </row>
    <row r="740" spans="13:13">
      <c r="M740" s="32"/>
    </row>
    <row r="741" spans="13:13">
      <c r="M741" s="32"/>
    </row>
    <row r="742" spans="13:13">
      <c r="M742" s="32"/>
    </row>
    <row r="743" spans="13:13">
      <c r="M743" s="32"/>
    </row>
    <row r="744" spans="13:13">
      <c r="M744" s="32"/>
    </row>
    <row r="745" spans="13:13">
      <c r="M745" s="32"/>
    </row>
    <row r="746" spans="13:13">
      <c r="M746" s="32"/>
    </row>
    <row r="747" spans="13:13">
      <c r="M747" s="32"/>
    </row>
    <row r="748" spans="13:13">
      <c r="M748" s="32"/>
    </row>
    <row r="749" spans="13:13">
      <c r="M749" s="32"/>
    </row>
    <row r="750" spans="13:13">
      <c r="M750" s="32"/>
    </row>
    <row r="751" spans="13:13">
      <c r="M751" s="32"/>
    </row>
    <row r="752" spans="13:13">
      <c r="M752" s="32"/>
    </row>
    <row r="753" spans="13:13">
      <c r="M753" s="32"/>
    </row>
    <row r="754" spans="13:13">
      <c r="M754" s="32"/>
    </row>
    <row r="755" spans="13:13">
      <c r="M755" s="32"/>
    </row>
    <row r="756" spans="13:13">
      <c r="M756" s="32"/>
    </row>
    <row r="757" spans="13:13">
      <c r="M757" s="32"/>
    </row>
    <row r="758" spans="13:13">
      <c r="M758" s="32"/>
    </row>
    <row r="759" spans="13:13">
      <c r="M759" s="32"/>
    </row>
    <row r="760" spans="13:13">
      <c r="M760" s="32"/>
    </row>
    <row r="761" spans="13:13">
      <c r="M761" s="32"/>
    </row>
    <row r="762" spans="13:13">
      <c r="M762" s="32"/>
    </row>
    <row r="763" spans="13:13">
      <c r="M763" s="32"/>
    </row>
    <row r="764" spans="13:13">
      <c r="M764" s="32"/>
    </row>
    <row r="765" spans="13:13">
      <c r="M765" s="32"/>
    </row>
    <row r="766" spans="13:13">
      <c r="M766" s="32"/>
    </row>
    <row r="767" spans="13:13">
      <c r="M767" s="32"/>
    </row>
    <row r="768" spans="13:13">
      <c r="M768" s="32"/>
    </row>
    <row r="769" spans="13:13">
      <c r="M769" s="32"/>
    </row>
    <row r="770" spans="13:13">
      <c r="M770" s="32"/>
    </row>
    <row r="771" spans="13:13">
      <c r="M771" s="32"/>
    </row>
    <row r="772" spans="13:13">
      <c r="M772" s="32"/>
    </row>
    <row r="773" spans="13:13">
      <c r="M773" s="32"/>
    </row>
    <row r="774" spans="13:13">
      <c r="M774" s="32"/>
    </row>
    <row r="775" spans="13:13">
      <c r="M775" s="32"/>
    </row>
    <row r="776" spans="13:13">
      <c r="M776" s="32"/>
    </row>
    <row r="777" spans="13:13">
      <c r="M777" s="32"/>
    </row>
    <row r="778" spans="13:13">
      <c r="M778" s="32"/>
    </row>
    <row r="779" spans="13:13">
      <c r="M779" s="32"/>
    </row>
    <row r="780" spans="13:13">
      <c r="M780" s="32"/>
    </row>
    <row r="781" spans="13:13">
      <c r="M781" s="32"/>
    </row>
    <row r="782" spans="13:13">
      <c r="M782" s="32"/>
    </row>
    <row r="783" spans="13:13">
      <c r="M783" s="32"/>
    </row>
    <row r="784" spans="13:13">
      <c r="M784" s="32"/>
    </row>
    <row r="785" spans="13:13">
      <c r="M785" s="32"/>
    </row>
    <row r="786" spans="13:13">
      <c r="M786" s="32"/>
    </row>
    <row r="787" spans="13:13">
      <c r="M787" s="32"/>
    </row>
    <row r="788" spans="13:13">
      <c r="M788" s="32"/>
    </row>
    <row r="789" spans="13:13">
      <c r="M789" s="32"/>
    </row>
    <row r="790" spans="13:13">
      <c r="M790" s="32"/>
    </row>
    <row r="791" spans="13:13">
      <c r="M791" s="32"/>
    </row>
    <row r="792" spans="13:13">
      <c r="M792" s="32"/>
    </row>
    <row r="793" spans="13:13">
      <c r="M793" s="32"/>
    </row>
    <row r="794" spans="13:13">
      <c r="M794" s="32"/>
    </row>
    <row r="795" spans="13:13">
      <c r="M795" s="32"/>
    </row>
    <row r="796" spans="13:13">
      <c r="M796" s="32"/>
    </row>
    <row r="797" spans="13:13">
      <c r="M797" s="32"/>
    </row>
    <row r="798" spans="13:13">
      <c r="M798" s="32"/>
    </row>
    <row r="799" spans="13:13">
      <c r="M799" s="32"/>
    </row>
    <row r="800" spans="13:13">
      <c r="M800" s="32"/>
    </row>
    <row r="801" spans="13:13">
      <c r="M801" s="32"/>
    </row>
    <row r="802" spans="13:13">
      <c r="M802" s="32"/>
    </row>
    <row r="803" spans="13:13">
      <c r="M803" s="32"/>
    </row>
    <row r="804" spans="13:13">
      <c r="M804" s="32"/>
    </row>
    <row r="805" spans="13:13">
      <c r="M805" s="32"/>
    </row>
    <row r="806" spans="13:13">
      <c r="M806" s="32"/>
    </row>
    <row r="807" spans="13:13">
      <c r="M807" s="32"/>
    </row>
    <row r="808" spans="13:13">
      <c r="M808" s="32"/>
    </row>
    <row r="809" spans="13:13">
      <c r="M809" s="32"/>
    </row>
    <row r="810" spans="13:13">
      <c r="M810" s="32"/>
    </row>
    <row r="811" spans="13:13">
      <c r="M811" s="32"/>
    </row>
    <row r="812" spans="13:13">
      <c r="M812" s="32"/>
    </row>
    <row r="813" spans="13:13">
      <c r="M813" s="32"/>
    </row>
    <row r="814" spans="13:13">
      <c r="M814" s="32"/>
    </row>
    <row r="815" spans="13:13">
      <c r="M815" s="32"/>
    </row>
    <row r="816" spans="13:13">
      <c r="M816" s="32"/>
    </row>
    <row r="817" spans="13:13">
      <c r="M817" s="32"/>
    </row>
    <row r="818" spans="13:13">
      <c r="M818" s="32"/>
    </row>
    <row r="819" spans="13:13">
      <c r="M819" s="32"/>
    </row>
    <row r="820" spans="13:13">
      <c r="M820" s="32"/>
    </row>
    <row r="821" spans="13:13">
      <c r="M821" s="32"/>
    </row>
    <row r="822" spans="13:13">
      <c r="M822" s="32"/>
    </row>
    <row r="823" spans="13:13">
      <c r="M823" s="32"/>
    </row>
    <row r="824" spans="13:13">
      <c r="M824" s="32"/>
    </row>
    <row r="825" spans="13:13">
      <c r="M825" s="32"/>
    </row>
    <row r="826" spans="13:13">
      <c r="M826" s="32"/>
    </row>
    <row r="827" spans="13:13">
      <c r="M827" s="32"/>
    </row>
    <row r="828" spans="13:13">
      <c r="M828" s="32"/>
    </row>
    <row r="829" spans="13:13">
      <c r="M829" s="32"/>
    </row>
    <row r="830" spans="13:13">
      <c r="M830" s="32"/>
    </row>
    <row r="831" spans="13:13">
      <c r="M831" s="32"/>
    </row>
    <row r="832" spans="13:13">
      <c r="M832" s="32"/>
    </row>
    <row r="833" spans="13:13">
      <c r="M833" s="32"/>
    </row>
    <row r="834" spans="13:13">
      <c r="M834" s="32"/>
    </row>
    <row r="835" spans="13:13">
      <c r="M835" s="32"/>
    </row>
    <row r="836" spans="13:13">
      <c r="M836" s="32"/>
    </row>
    <row r="837" spans="13:13">
      <c r="M837" s="32"/>
    </row>
    <row r="838" spans="13:13">
      <c r="M838" s="32"/>
    </row>
    <row r="839" spans="13:13">
      <c r="M839" s="32"/>
    </row>
    <row r="840" spans="13:13">
      <c r="M840" s="32"/>
    </row>
    <row r="841" spans="13:13">
      <c r="M841" s="32"/>
    </row>
    <row r="842" spans="13:13">
      <c r="M842" s="32"/>
    </row>
    <row r="843" spans="13:13">
      <c r="M843" s="32"/>
    </row>
    <row r="844" spans="13:13">
      <c r="M844" s="32"/>
    </row>
    <row r="845" spans="13:13">
      <c r="M845" s="32"/>
    </row>
    <row r="846" spans="13:13">
      <c r="M846" s="32"/>
    </row>
    <row r="847" spans="13:13">
      <c r="M847" s="32"/>
    </row>
    <row r="848" spans="13:13">
      <c r="M848" s="32"/>
    </row>
    <row r="849" spans="13:13">
      <c r="M849" s="32"/>
    </row>
    <row r="850" spans="13:13">
      <c r="M850" s="32"/>
    </row>
    <row r="851" spans="13:13">
      <c r="M851" s="32"/>
    </row>
    <row r="852" spans="13:13">
      <c r="M852" s="32"/>
    </row>
    <row r="853" spans="13:13">
      <c r="M853" s="32"/>
    </row>
    <row r="854" spans="13:13">
      <c r="M854" s="32"/>
    </row>
    <row r="855" spans="13:13">
      <c r="M855" s="32"/>
    </row>
    <row r="856" spans="13:13">
      <c r="M856" s="32"/>
    </row>
    <row r="857" spans="13:13">
      <c r="M857" s="32"/>
    </row>
    <row r="858" spans="13:13">
      <c r="M858" s="32"/>
    </row>
    <row r="859" spans="13:13">
      <c r="M859" s="32"/>
    </row>
    <row r="860" spans="13:13">
      <c r="M860" s="32"/>
    </row>
    <row r="861" spans="13:13">
      <c r="M861" s="32"/>
    </row>
    <row r="862" spans="13:13">
      <c r="M862" s="32"/>
    </row>
    <row r="863" spans="13:13">
      <c r="M863" s="32"/>
    </row>
    <row r="864" spans="13:13">
      <c r="M864" s="32"/>
    </row>
    <row r="865" spans="13:13">
      <c r="M865" s="32"/>
    </row>
    <row r="866" spans="13:13">
      <c r="M866" s="32"/>
    </row>
    <row r="867" spans="13:13">
      <c r="M867" s="32"/>
    </row>
    <row r="868" spans="13:13">
      <c r="M868" s="32"/>
    </row>
    <row r="869" spans="13:13">
      <c r="M869" s="32"/>
    </row>
    <row r="870" spans="13:13">
      <c r="M870" s="32"/>
    </row>
    <row r="871" spans="13:13">
      <c r="M871" s="32"/>
    </row>
    <row r="872" spans="13:13">
      <c r="M872" s="32"/>
    </row>
    <row r="873" spans="13:13">
      <c r="M873" s="32"/>
    </row>
    <row r="874" spans="13:13">
      <c r="M874" s="32"/>
    </row>
    <row r="875" spans="13:13">
      <c r="M875" s="32"/>
    </row>
    <row r="876" spans="13:13">
      <c r="M876" s="32"/>
    </row>
    <row r="877" spans="13:13">
      <c r="M877" s="32"/>
    </row>
    <row r="878" spans="13:13">
      <c r="M878" s="32"/>
    </row>
    <row r="879" spans="13:13">
      <c r="M879" s="32"/>
    </row>
    <row r="880" spans="13:13">
      <c r="M880" s="32"/>
    </row>
    <row r="881" spans="13:13">
      <c r="M881" s="32"/>
    </row>
    <row r="882" spans="13:13">
      <c r="M882" s="32"/>
    </row>
    <row r="883" spans="13:13">
      <c r="M883" s="32"/>
    </row>
    <row r="884" spans="13:13">
      <c r="M884" s="32"/>
    </row>
    <row r="885" spans="13:13">
      <c r="M885" s="32"/>
    </row>
    <row r="886" spans="13:13">
      <c r="M886" s="32"/>
    </row>
    <row r="887" spans="13:13">
      <c r="M887" s="32"/>
    </row>
    <row r="888" spans="13:13">
      <c r="M888" s="32"/>
    </row>
    <row r="889" spans="13:13">
      <c r="M889" s="32"/>
    </row>
    <row r="890" spans="13:13">
      <c r="M890" s="32"/>
    </row>
    <row r="891" spans="13:13">
      <c r="M891" s="32"/>
    </row>
    <row r="892" spans="13:13">
      <c r="M892" s="32"/>
    </row>
    <row r="893" spans="13:13">
      <c r="M893" s="32"/>
    </row>
    <row r="894" spans="13:13">
      <c r="M894" s="32"/>
    </row>
    <row r="895" spans="13:13">
      <c r="M895" s="32"/>
    </row>
    <row r="896" spans="13:13">
      <c r="M896" s="32"/>
    </row>
    <row r="897" spans="13:13">
      <c r="M897" s="32"/>
    </row>
    <row r="898" spans="13:13">
      <c r="M898" s="32"/>
    </row>
    <row r="899" spans="13:13">
      <c r="M899" s="32"/>
    </row>
    <row r="900" spans="13:13">
      <c r="M900" s="32"/>
    </row>
    <row r="901" spans="13:13">
      <c r="M901" s="32"/>
    </row>
    <row r="902" spans="13:13">
      <c r="M902" s="32"/>
    </row>
    <row r="903" spans="13:13">
      <c r="M903" s="32"/>
    </row>
    <row r="904" spans="13:13">
      <c r="M904" s="32"/>
    </row>
    <row r="905" spans="13:13">
      <c r="M905" s="32"/>
    </row>
    <row r="906" spans="13:13">
      <c r="M906" s="32"/>
    </row>
    <row r="907" spans="13:13">
      <c r="M907" s="32"/>
    </row>
    <row r="908" spans="13:13">
      <c r="M908" s="32"/>
    </row>
    <row r="909" spans="13:13">
      <c r="M909" s="32"/>
    </row>
    <row r="910" spans="13:13">
      <c r="M910" s="32"/>
    </row>
    <row r="911" spans="13:13">
      <c r="M911" s="32"/>
    </row>
    <row r="912" spans="13:13">
      <c r="M912" s="32"/>
    </row>
    <row r="913" spans="13:13">
      <c r="M913" s="32"/>
    </row>
    <row r="914" spans="13:13">
      <c r="M914" s="32"/>
    </row>
    <row r="915" spans="13:13">
      <c r="M915" s="32"/>
    </row>
    <row r="916" spans="13:13">
      <c r="M916" s="32"/>
    </row>
    <row r="917" spans="13:13">
      <c r="M917" s="32"/>
    </row>
    <row r="918" spans="13:13">
      <c r="M918" s="32"/>
    </row>
    <row r="919" spans="13:13">
      <c r="M919" s="32"/>
    </row>
    <row r="920" spans="13:13">
      <c r="M920" s="32"/>
    </row>
    <row r="921" spans="13:13">
      <c r="M921" s="32"/>
    </row>
    <row r="922" spans="13:13">
      <c r="M922" s="32"/>
    </row>
    <row r="923" spans="13:13">
      <c r="M923" s="32"/>
    </row>
    <row r="924" spans="13:13">
      <c r="M924" s="32"/>
    </row>
    <row r="925" spans="13:13">
      <c r="M925" s="32"/>
    </row>
    <row r="926" spans="13:13">
      <c r="M926" s="32"/>
    </row>
    <row r="927" spans="13:13">
      <c r="M927" s="32"/>
    </row>
    <row r="928" spans="13:13">
      <c r="M928" s="32"/>
    </row>
    <row r="929" spans="13:13">
      <c r="M929" s="32"/>
    </row>
    <row r="930" spans="13:13">
      <c r="M930" s="32"/>
    </row>
    <row r="931" spans="13:13">
      <c r="M931" s="32"/>
    </row>
    <row r="932" spans="13:13">
      <c r="M932" s="32"/>
    </row>
    <row r="933" spans="13:13">
      <c r="M933" s="32"/>
    </row>
    <row r="934" spans="13:13">
      <c r="M934" s="32"/>
    </row>
    <row r="935" spans="13:13">
      <c r="M935" s="32"/>
    </row>
    <row r="936" spans="13:13">
      <c r="M936" s="32"/>
    </row>
    <row r="937" spans="13:13">
      <c r="M937" s="32"/>
    </row>
    <row r="938" spans="13:13">
      <c r="M938" s="32"/>
    </row>
    <row r="939" spans="13:13">
      <c r="M939" s="32"/>
    </row>
    <row r="940" spans="13:13">
      <c r="M940" s="32"/>
    </row>
    <row r="941" spans="13:13">
      <c r="M941" s="32"/>
    </row>
    <row r="942" spans="13:13">
      <c r="M942" s="32"/>
    </row>
    <row r="943" spans="13:13">
      <c r="M943" s="32"/>
    </row>
    <row r="944" spans="13:13">
      <c r="M944" s="32"/>
    </row>
    <row r="945" spans="13:13">
      <c r="M945" s="32"/>
    </row>
    <row r="946" spans="13:13">
      <c r="M946" s="32"/>
    </row>
    <row r="947" spans="13:13">
      <c r="M947" s="32"/>
    </row>
    <row r="948" spans="13:13">
      <c r="M948" s="32"/>
    </row>
    <row r="949" spans="13:13">
      <c r="M949" s="32"/>
    </row>
    <row r="950" spans="13:13">
      <c r="M950" s="32"/>
    </row>
    <row r="951" spans="13:13">
      <c r="M951" s="32"/>
    </row>
    <row r="952" spans="13:13">
      <c r="M952" s="32"/>
    </row>
    <row r="953" spans="13:13">
      <c r="M953" s="32"/>
    </row>
    <row r="954" spans="13:13">
      <c r="M954" s="32"/>
    </row>
    <row r="955" spans="13:13">
      <c r="M955" s="32"/>
    </row>
    <row r="956" spans="13:13">
      <c r="M956" s="32"/>
    </row>
    <row r="957" spans="13:13">
      <c r="M957" s="32"/>
    </row>
    <row r="958" spans="13:13">
      <c r="M958" s="32"/>
    </row>
    <row r="959" spans="13:13">
      <c r="M959" s="32"/>
    </row>
    <row r="960" spans="13:13">
      <c r="M960" s="32"/>
    </row>
    <row r="961" spans="13:13">
      <c r="M961" s="32"/>
    </row>
    <row r="962" spans="13:13">
      <c r="M962" s="32"/>
    </row>
    <row r="963" spans="13:13">
      <c r="M963" s="32"/>
    </row>
    <row r="964" spans="13:13">
      <c r="M964" s="32"/>
    </row>
    <row r="965" spans="13:13">
      <c r="M965" s="32"/>
    </row>
    <row r="966" spans="13:13">
      <c r="M966" s="32"/>
    </row>
    <row r="967" spans="13:13">
      <c r="M967" s="32"/>
    </row>
    <row r="968" spans="13:13">
      <c r="M968" s="32"/>
    </row>
    <row r="969" spans="13:13">
      <c r="M969" s="32"/>
    </row>
    <row r="970" spans="13:13">
      <c r="M970" s="32"/>
    </row>
    <row r="971" spans="13:13">
      <c r="M971" s="32"/>
    </row>
    <row r="972" spans="13:13">
      <c r="M972" s="32"/>
    </row>
    <row r="973" spans="13:13">
      <c r="M973" s="32"/>
    </row>
    <row r="974" spans="13:13">
      <c r="M974" s="32"/>
    </row>
    <row r="975" spans="13:13">
      <c r="M975" s="32"/>
    </row>
    <row r="976" spans="13:13">
      <c r="M976" s="32"/>
    </row>
    <row r="977" spans="13:13">
      <c r="M977" s="32"/>
    </row>
    <row r="978" spans="13:13">
      <c r="M978" s="32"/>
    </row>
    <row r="979" spans="13:13">
      <c r="M979" s="32"/>
    </row>
    <row r="980" spans="13:13">
      <c r="M980" s="32"/>
    </row>
    <row r="981" spans="13:13">
      <c r="M981" s="32"/>
    </row>
    <row r="982" spans="13:13">
      <c r="M982" s="32"/>
    </row>
    <row r="983" spans="13:13">
      <c r="M983" s="32"/>
    </row>
    <row r="984" spans="13:13">
      <c r="M984" s="32"/>
    </row>
    <row r="985" spans="13:13">
      <c r="M985" s="32"/>
    </row>
    <row r="986" spans="13:13">
      <c r="M986" s="32"/>
    </row>
    <row r="987" spans="13:13">
      <c r="M987" s="32"/>
    </row>
    <row r="988" spans="13:13">
      <c r="M988" s="32"/>
    </row>
    <row r="989" spans="13:13">
      <c r="M989" s="32"/>
    </row>
    <row r="990" spans="13:13">
      <c r="M990" s="32"/>
    </row>
    <row r="991" spans="13:13">
      <c r="M991" s="32"/>
    </row>
    <row r="992" spans="13:13">
      <c r="M992" s="32"/>
    </row>
    <row r="993" spans="13:13">
      <c r="M993" s="32"/>
    </row>
    <row r="994" spans="13:13">
      <c r="M994" s="32"/>
    </row>
    <row r="995" spans="13:13">
      <c r="M995" s="32"/>
    </row>
    <row r="996" spans="13:13">
      <c r="M996" s="32"/>
    </row>
    <row r="997" spans="13:13">
      <c r="M997" s="32"/>
    </row>
    <row r="998" spans="13:13">
      <c r="M998" s="32"/>
    </row>
    <row r="999" spans="13:13">
      <c r="M999" s="32"/>
    </row>
    <row r="1000" spans="13:13">
      <c r="M1000" s="32"/>
    </row>
    <row r="1001" spans="13:13">
      <c r="M1001" s="32"/>
    </row>
    <row r="1002" spans="13:13">
      <c r="M1002" s="32"/>
    </row>
    <row r="1003" spans="13:13">
      <c r="M1003" s="32"/>
    </row>
    <row r="1004" spans="13:13">
      <c r="M1004" s="32"/>
    </row>
    <row r="1005" spans="13:13">
      <c r="M1005" s="32"/>
    </row>
    <row r="1006" spans="13:13">
      <c r="M1006" s="32"/>
    </row>
  </sheetData>
  <mergeCells count="3">
    <mergeCell ref="AO7:AQ7"/>
    <mergeCell ref="G7:M7"/>
    <mergeCell ref="Q7:AC7"/>
  </mergeCells>
  <phoneticPr fontId="3" type="noConversion"/>
  <pageMargins left="0.9" right="0.75" top="0.5" bottom="0.5" header="0.25" footer="0.25"/>
  <pageSetup scale="80" firstPageNumber="16" pageOrder="overThenDown" orientation="portrait" useFirstPageNumber="1" r:id="rId1"/>
  <headerFooter scaleWithDoc="0" alignWithMargins="0"/>
  <rowBreaks count="1" manualBreakCount="1">
    <brk id="66" max="60" man="1"/>
  </rowBreaks>
  <colBreaks count="4" manualBreakCount="4">
    <brk id="14" max="131" man="1"/>
    <brk id="30" max="1048575" man="1"/>
    <brk id="43" max="1048575" man="1"/>
    <brk id="6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Q133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9" sqref="A9"/>
      <selection pane="bottomRight" activeCell="A3" sqref="A3"/>
    </sheetView>
  </sheetViews>
  <sheetFormatPr defaultRowHeight="12"/>
  <cols>
    <col min="1" max="1" width="40.7109375" style="33" customWidth="1"/>
    <col min="2" max="2" width="1.7109375" style="33" customWidth="1"/>
    <col min="3" max="3" width="11.7109375" style="33" customWidth="1"/>
    <col min="4" max="4" width="1.7109375" style="33" hidden="1" customWidth="1"/>
    <col min="5" max="5" width="11.7109375" style="33" hidden="1" customWidth="1"/>
    <col min="6" max="6" width="1.7109375" style="33" customWidth="1"/>
    <col min="7" max="7" width="11.7109375" style="33" customWidth="1"/>
    <col min="8" max="8" width="1.7109375" style="33" customWidth="1"/>
    <col min="9" max="9" width="11.7109375" style="33" customWidth="1"/>
    <col min="10" max="10" width="1.7109375" style="33" customWidth="1"/>
    <col min="11" max="11" width="11.7109375" style="33" customWidth="1"/>
    <col min="12" max="12" width="1.7109375" style="33" customWidth="1"/>
    <col min="13" max="13" width="11.7109375" style="33" customWidth="1"/>
    <col min="14" max="14" width="1.28515625" style="33" customWidth="1"/>
    <col min="15" max="15" width="10.5703125" style="33" customWidth="1"/>
    <col min="16" max="16" width="1.28515625" style="33" customWidth="1"/>
    <col min="17" max="17" width="10.42578125" style="33" customWidth="1"/>
    <col min="18" max="18" width="1.28515625" style="33" customWidth="1"/>
    <col min="19" max="19" width="10.140625" style="33" customWidth="1"/>
    <col min="20" max="20" width="1.28515625" style="33" customWidth="1"/>
    <col min="21" max="21" width="11.7109375" style="33" customWidth="1"/>
    <col min="22" max="22" width="1.28515625" style="33" customWidth="1"/>
    <col min="23" max="23" width="11.7109375" style="33" customWidth="1"/>
    <col min="24" max="24" width="1.28515625" style="33" customWidth="1"/>
    <col min="25" max="25" width="11.7109375" style="33" customWidth="1"/>
    <col min="26" max="26" width="1.28515625" style="33" customWidth="1"/>
    <col min="27" max="27" width="11.7109375" style="33" customWidth="1"/>
    <col min="28" max="28" width="1.28515625" style="33" customWidth="1"/>
    <col min="29" max="29" width="11.7109375" style="33" customWidth="1"/>
    <col min="30" max="30" width="1.28515625" style="33" customWidth="1"/>
    <col min="31" max="31" width="9.28515625" style="33" bestFit="1" customWidth="1"/>
    <col min="32" max="32" width="1.7109375" style="33" customWidth="1"/>
    <col min="33" max="33" width="11.7109375" style="36" customWidth="1"/>
    <col min="34" max="35" width="1.7109375" style="33" customWidth="1"/>
    <col min="36" max="36" width="16.5703125" style="33" customWidth="1"/>
    <col min="37" max="37" width="16.140625" style="16" customWidth="1"/>
    <col min="38" max="38" width="16.28515625" style="16" customWidth="1"/>
    <col min="39" max="39" width="12" style="16" customWidth="1"/>
    <col min="40" max="40" width="9.140625" style="33"/>
    <col min="41" max="41" width="9.140625" style="16"/>
    <col min="42" max="42" width="16.85546875" style="16" bestFit="1" customWidth="1"/>
    <col min="43" max="43" width="9.140625" style="16"/>
    <col min="44" max="16384" width="9.140625" style="33"/>
  </cols>
  <sheetData>
    <row r="1" spans="1:43" s="16" customFormat="1">
      <c r="A1" s="50" t="s">
        <v>92</v>
      </c>
      <c r="B1" s="50"/>
      <c r="C1" s="50"/>
      <c r="D1" s="50"/>
      <c r="E1" s="50"/>
      <c r="F1" s="5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0"/>
      <c r="AG1" s="3"/>
    </row>
    <row r="2" spans="1:43" s="16" customFormat="1">
      <c r="A2" s="50" t="s">
        <v>297</v>
      </c>
      <c r="B2" s="50"/>
      <c r="C2" s="50"/>
      <c r="D2" s="50"/>
      <c r="E2" s="50"/>
      <c r="F2" s="5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0"/>
      <c r="AG2" s="3"/>
    </row>
    <row r="3" spans="1:43" s="16" customFormat="1">
      <c r="A3" s="100" t="s">
        <v>266</v>
      </c>
      <c r="B3" s="50"/>
      <c r="C3" s="50"/>
      <c r="D3" s="50"/>
      <c r="E3" s="50"/>
      <c r="F3" s="5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0"/>
      <c r="AG3" s="3"/>
    </row>
    <row r="4" spans="1:43" s="16" customFormat="1">
      <c r="A4" s="7" t="s">
        <v>269</v>
      </c>
      <c r="B4" s="19"/>
      <c r="C4" s="19"/>
      <c r="D4" s="19"/>
      <c r="E4" s="19"/>
      <c r="F4" s="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29"/>
      <c r="AG4" s="3"/>
    </row>
    <row r="5" spans="1:43" s="16" customFormat="1">
      <c r="A5" s="19"/>
      <c r="B5" s="19"/>
      <c r="C5" s="19"/>
      <c r="D5" s="19"/>
      <c r="E5" s="19"/>
      <c r="F5" s="5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29"/>
      <c r="AG5" s="3"/>
    </row>
    <row r="6" spans="1:43" s="16" customFormat="1">
      <c r="A6" s="35" t="s">
        <v>380</v>
      </c>
      <c r="B6" s="19"/>
      <c r="C6" s="19"/>
      <c r="D6" s="19"/>
      <c r="E6" s="19"/>
      <c r="F6" s="5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29"/>
      <c r="AG6" s="3"/>
    </row>
    <row r="7" spans="1:43" s="3" customFormat="1">
      <c r="A7" s="52"/>
      <c r="G7" s="101" t="s">
        <v>2</v>
      </c>
      <c r="H7" s="101"/>
      <c r="I7" s="101"/>
      <c r="J7" s="101"/>
      <c r="K7" s="101"/>
      <c r="O7" s="101" t="s">
        <v>15</v>
      </c>
      <c r="P7" s="101"/>
      <c r="Q7" s="101"/>
      <c r="U7" s="101" t="s">
        <v>426</v>
      </c>
      <c r="V7" s="101"/>
      <c r="W7" s="101"/>
      <c r="X7" s="101"/>
      <c r="Y7" s="101"/>
      <c r="Z7" s="101"/>
      <c r="AA7" s="101"/>
      <c r="AB7" s="101"/>
      <c r="AC7" s="101"/>
    </row>
    <row r="8" spans="1:43" s="22" customFormat="1">
      <c r="B8" s="53"/>
      <c r="C8" s="53"/>
      <c r="D8" s="53"/>
      <c r="E8" s="53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  <c r="AC8" s="2"/>
      <c r="AD8" s="2"/>
      <c r="AE8" s="2" t="s">
        <v>8</v>
      </c>
      <c r="AF8" s="23"/>
      <c r="AG8" s="11" t="s">
        <v>4</v>
      </c>
    </row>
    <row r="9" spans="1:43" s="22" customFormat="1">
      <c r="B9" s="9"/>
      <c r="C9" s="9"/>
      <c r="D9" s="9"/>
      <c r="E9" s="9"/>
      <c r="F9" s="9"/>
      <c r="G9" s="2" t="s">
        <v>93</v>
      </c>
      <c r="H9" s="2"/>
      <c r="I9" s="2" t="s">
        <v>18</v>
      </c>
      <c r="J9" s="2"/>
      <c r="K9" s="2" t="s">
        <v>85</v>
      </c>
      <c r="L9" s="2"/>
      <c r="M9" s="2" t="s">
        <v>8</v>
      </c>
      <c r="N9" s="2"/>
      <c r="O9" s="2"/>
      <c r="P9" s="2"/>
      <c r="Q9" s="2" t="s">
        <v>7</v>
      </c>
      <c r="R9" s="2"/>
      <c r="S9" s="2" t="s">
        <v>8</v>
      </c>
      <c r="T9" s="2"/>
      <c r="U9" s="2" t="s">
        <v>299</v>
      </c>
      <c r="V9" s="2"/>
      <c r="W9" s="2" t="s">
        <v>18</v>
      </c>
      <c r="X9" s="2"/>
      <c r="Y9" s="2" t="s">
        <v>300</v>
      </c>
      <c r="Z9" s="2"/>
      <c r="AA9" s="2" t="s">
        <v>301</v>
      </c>
      <c r="AB9" s="2"/>
      <c r="AC9" s="2" t="s">
        <v>302</v>
      </c>
      <c r="AD9" s="2"/>
      <c r="AE9" s="2" t="s">
        <v>94</v>
      </c>
      <c r="AF9" s="23"/>
      <c r="AG9" s="11" t="s">
        <v>95</v>
      </c>
    </row>
    <row r="10" spans="1:43" s="23" customFormat="1">
      <c r="A10" s="54" t="s">
        <v>295</v>
      </c>
      <c r="B10" s="22"/>
      <c r="C10" s="54" t="s">
        <v>12</v>
      </c>
      <c r="D10" s="22"/>
      <c r="E10" s="54" t="s">
        <v>13</v>
      </c>
      <c r="F10" s="9"/>
      <c r="G10" s="84" t="s">
        <v>14</v>
      </c>
      <c r="H10" s="2"/>
      <c r="I10" s="84" t="s">
        <v>2</v>
      </c>
      <c r="J10" s="2"/>
      <c r="K10" s="84" t="s">
        <v>2</v>
      </c>
      <c r="L10" s="2"/>
      <c r="M10" s="84" t="s">
        <v>2</v>
      </c>
      <c r="N10" s="2"/>
      <c r="O10" s="84" t="s">
        <v>15</v>
      </c>
      <c r="P10" s="2"/>
      <c r="Q10" s="84" t="s">
        <v>96</v>
      </c>
      <c r="R10" s="2"/>
      <c r="S10" s="84" t="s">
        <v>15</v>
      </c>
      <c r="T10" s="2"/>
      <c r="U10" s="84" t="s">
        <v>97</v>
      </c>
      <c r="V10" s="2"/>
      <c r="W10" s="84" t="s">
        <v>97</v>
      </c>
      <c r="X10" s="2"/>
      <c r="Y10" s="84" t="s">
        <v>97</v>
      </c>
      <c r="Z10" s="2"/>
      <c r="AA10" s="84" t="s">
        <v>97</v>
      </c>
      <c r="AB10" s="2"/>
      <c r="AC10" s="84" t="s">
        <v>97</v>
      </c>
      <c r="AD10" s="2"/>
      <c r="AE10" s="84" t="s">
        <v>119</v>
      </c>
      <c r="AG10" s="84" t="s">
        <v>20</v>
      </c>
      <c r="AK10" s="61" t="s">
        <v>349</v>
      </c>
      <c r="AL10" s="61" t="s">
        <v>351</v>
      </c>
      <c r="AO10" s="23" t="s">
        <v>365</v>
      </c>
      <c r="AP10" s="61" t="s">
        <v>367</v>
      </c>
    </row>
    <row r="11" spans="1:43" s="23" customFormat="1">
      <c r="B11" s="22"/>
      <c r="D11" s="22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G11" s="2"/>
    </row>
    <row r="12" spans="1:43">
      <c r="A12" s="38" t="s">
        <v>264</v>
      </c>
    </row>
    <row r="13" spans="1:43">
      <c r="A13" s="38"/>
    </row>
    <row r="14" spans="1:43">
      <c r="A14" s="3" t="s">
        <v>306</v>
      </c>
      <c r="B14" s="3"/>
      <c r="C14" s="3" t="s">
        <v>272</v>
      </c>
      <c r="G14" s="20">
        <v>4648846</v>
      </c>
      <c r="H14" s="20"/>
      <c r="I14" s="20">
        <v>0</v>
      </c>
      <c r="J14" s="20"/>
      <c r="K14" s="15">
        <f>+M14-I14-G14</f>
        <v>3262938</v>
      </c>
      <c r="L14" s="20"/>
      <c r="M14" s="20">
        <v>7911784</v>
      </c>
      <c r="N14" s="20"/>
      <c r="O14" s="15">
        <f>+S14-Q14</f>
        <v>950121</v>
      </c>
      <c r="P14" s="20"/>
      <c r="Q14" s="20">
        <v>2612802</v>
      </c>
      <c r="R14" s="20"/>
      <c r="S14" s="20">
        <v>3562923</v>
      </c>
      <c r="T14" s="20"/>
      <c r="U14" s="20">
        <v>35438</v>
      </c>
      <c r="V14" s="20"/>
      <c r="W14" s="20">
        <v>0</v>
      </c>
      <c r="X14" s="20"/>
      <c r="Y14" s="20">
        <v>0</v>
      </c>
      <c r="Z14" s="20"/>
      <c r="AA14" s="20">
        <v>558196</v>
      </c>
      <c r="AB14" s="20"/>
      <c r="AC14" s="20">
        <v>3755227</v>
      </c>
      <c r="AD14" s="20"/>
      <c r="AE14" s="24">
        <f>SUM(U14:AC14)</f>
        <v>4348861</v>
      </c>
      <c r="AF14" s="16"/>
      <c r="AG14" s="3">
        <f>+G14+I14+K14-O14-Q14-AA14-Y14-U14-W14-AC14</f>
        <v>0</v>
      </c>
      <c r="AJ14" s="16" t="s">
        <v>303</v>
      </c>
      <c r="AK14" s="3" t="str">
        <f>A14</f>
        <v>Apollo Career Center</v>
      </c>
      <c r="AL14" s="3" t="str">
        <f>'St of Act-Exp'!A14</f>
        <v>Apollo Career Center</v>
      </c>
      <c r="AM14" s="16" t="b">
        <f>AK14=AL14</f>
        <v>1</v>
      </c>
      <c r="AO14" s="3" t="str">
        <f>C14</f>
        <v>Allen</v>
      </c>
      <c r="AP14" s="3" t="str">
        <f>'St of Act-Exp'!C14</f>
        <v>Allen</v>
      </c>
      <c r="AQ14" s="16" t="b">
        <f>C14=AP14</f>
        <v>1</v>
      </c>
    </row>
    <row r="15" spans="1:43" s="36" customFormat="1">
      <c r="A15" s="3" t="s">
        <v>249</v>
      </c>
      <c r="B15" s="3"/>
      <c r="C15" s="3" t="s">
        <v>146</v>
      </c>
      <c r="E15" s="3">
        <v>62042</v>
      </c>
      <c r="G15" s="3">
        <v>4145482</v>
      </c>
      <c r="H15" s="3"/>
      <c r="I15" s="3">
        <v>0</v>
      </c>
      <c r="J15" s="3"/>
      <c r="K15" s="8">
        <f>+M15-I15-G15</f>
        <v>2677412</v>
      </c>
      <c r="L15" s="3"/>
      <c r="M15" s="3">
        <v>6822894</v>
      </c>
      <c r="N15" s="3"/>
      <c r="O15" s="8">
        <f>+S15-Q15</f>
        <v>469133</v>
      </c>
      <c r="P15" s="3"/>
      <c r="Q15" s="3">
        <v>1754988</v>
      </c>
      <c r="R15" s="3"/>
      <c r="S15" s="3">
        <v>2224121</v>
      </c>
      <c r="T15" s="3"/>
      <c r="U15" s="3">
        <v>12007</v>
      </c>
      <c r="V15" s="3"/>
      <c r="W15" s="3">
        <v>0</v>
      </c>
      <c r="X15" s="3"/>
      <c r="Y15" s="3">
        <v>105492</v>
      </c>
      <c r="Z15" s="3"/>
      <c r="AA15" s="3">
        <v>0</v>
      </c>
      <c r="AB15" s="3"/>
      <c r="AC15" s="3">
        <v>4481274</v>
      </c>
      <c r="AD15" s="3"/>
      <c r="AE15" s="27">
        <f>SUM(U15:AC15)</f>
        <v>4598773</v>
      </c>
      <c r="AF15" s="3"/>
      <c r="AG15" s="3">
        <f t="shared" ref="AG15:AG79" si="0">+G15+I15+K15-O15-Q15-AA15-Y15-U15-W15-AC15</f>
        <v>0</v>
      </c>
      <c r="AJ15" s="3"/>
      <c r="AK15" s="3" t="str">
        <f t="shared" ref="AK15:AK79" si="1">A15</f>
        <v>Ashland County-West Holmes JVSD</v>
      </c>
      <c r="AL15" s="3" t="str">
        <f>'St of Act-Exp'!A15</f>
        <v>Ashland County-West Holmes JVSD</v>
      </c>
      <c r="AM15" s="3" t="b">
        <f t="shared" ref="AM15:AM79" si="2">AK15=AL15</f>
        <v>1</v>
      </c>
      <c r="AO15" s="3" t="str">
        <f t="shared" ref="AO15:AO78" si="3">C15</f>
        <v>Ashland</v>
      </c>
      <c r="AP15" s="3" t="str">
        <f>'St of Act-Exp'!C15</f>
        <v>Ashland</v>
      </c>
      <c r="AQ15" s="16" t="b">
        <f t="shared" ref="AQ15:AQ78" si="4">C15=AP15</f>
        <v>1</v>
      </c>
    </row>
    <row r="16" spans="1:43">
      <c r="A16" s="3" t="s">
        <v>210</v>
      </c>
      <c r="B16" s="16"/>
      <c r="C16" s="16" t="s">
        <v>147</v>
      </c>
      <c r="E16" s="16">
        <v>50815</v>
      </c>
      <c r="G16" s="3">
        <v>5841504</v>
      </c>
      <c r="H16" s="3"/>
      <c r="I16" s="3">
        <v>5098</v>
      </c>
      <c r="J16" s="3"/>
      <c r="K16" s="8">
        <f>+M16-I16-G16</f>
        <v>4638763</v>
      </c>
      <c r="L16" s="3"/>
      <c r="M16" s="3">
        <v>10485365</v>
      </c>
      <c r="N16" s="3"/>
      <c r="O16" s="8">
        <f>+S16-Q16</f>
        <v>1106077</v>
      </c>
      <c r="P16" s="3"/>
      <c r="Q16" s="3">
        <v>2720565</v>
      </c>
      <c r="R16" s="3"/>
      <c r="S16" s="3">
        <v>3826642</v>
      </c>
      <c r="T16" s="3"/>
      <c r="U16" s="3">
        <v>34705</v>
      </c>
      <c r="V16" s="3"/>
      <c r="W16" s="3">
        <v>5098</v>
      </c>
      <c r="X16" s="3"/>
      <c r="Y16" s="3">
        <v>0</v>
      </c>
      <c r="Z16" s="3"/>
      <c r="AA16" s="3">
        <v>1347830</v>
      </c>
      <c r="AB16" s="3"/>
      <c r="AC16" s="3">
        <v>5271090</v>
      </c>
      <c r="AD16" s="3"/>
      <c r="AE16" s="27">
        <f t="shared" ref="AE16:AE64" si="5">SUM(U16:AC16)</f>
        <v>6658723</v>
      </c>
      <c r="AF16" s="16"/>
      <c r="AG16" s="3">
        <f t="shared" si="0"/>
        <v>0</v>
      </c>
      <c r="AJ16" s="3"/>
      <c r="AK16" s="3" t="str">
        <f t="shared" si="1"/>
        <v>Ashtabula County JVSD</v>
      </c>
      <c r="AL16" s="3" t="str">
        <f>'St of Act-Exp'!A16</f>
        <v>Ashtabula County JVSD</v>
      </c>
      <c r="AM16" s="16" t="b">
        <f t="shared" si="2"/>
        <v>1</v>
      </c>
      <c r="AO16" s="3" t="str">
        <f t="shared" si="3"/>
        <v>Ashtabula</v>
      </c>
      <c r="AP16" s="3" t="str">
        <f>'St of Act-Exp'!C16</f>
        <v>Ashtabula</v>
      </c>
      <c r="AQ16" s="16" t="b">
        <f t="shared" si="4"/>
        <v>1</v>
      </c>
    </row>
    <row r="17" spans="1:43">
      <c r="A17" s="3" t="s">
        <v>325</v>
      </c>
      <c r="B17" s="16"/>
      <c r="C17" s="16" t="s">
        <v>149</v>
      </c>
      <c r="E17" s="16">
        <v>51169</v>
      </c>
      <c r="G17" s="3">
        <f>6708167+258467</f>
        <v>6966634</v>
      </c>
      <c r="H17" s="3"/>
      <c r="I17" s="3">
        <v>0</v>
      </c>
      <c r="J17" s="3"/>
      <c r="K17" s="8">
        <f t="shared" ref="K17:K64" si="6">+M17-I17-G17</f>
        <v>7591081</v>
      </c>
      <c r="L17" s="3"/>
      <c r="M17" s="3">
        <v>14557715</v>
      </c>
      <c r="N17" s="3"/>
      <c r="O17" s="8">
        <f t="shared" ref="O17:O64" si="7">+S17-Q17</f>
        <v>1167488</v>
      </c>
      <c r="P17" s="3"/>
      <c r="Q17" s="3">
        <v>6137309</v>
      </c>
      <c r="R17" s="3"/>
      <c r="S17" s="3">
        <v>7304797</v>
      </c>
      <c r="T17" s="3"/>
      <c r="U17" s="3">
        <v>1087941</v>
      </c>
      <c r="V17" s="3"/>
      <c r="W17" s="3">
        <v>0</v>
      </c>
      <c r="X17" s="3"/>
      <c r="Y17" s="3">
        <v>0</v>
      </c>
      <c r="Z17" s="3"/>
      <c r="AA17" s="3">
        <v>2794511</v>
      </c>
      <c r="AB17" s="3"/>
      <c r="AC17" s="3">
        <v>3370466</v>
      </c>
      <c r="AD17" s="3"/>
      <c r="AE17" s="27">
        <f t="shared" si="5"/>
        <v>7252918</v>
      </c>
      <c r="AF17" s="16"/>
      <c r="AG17" s="3">
        <f t="shared" si="0"/>
        <v>0</v>
      </c>
      <c r="AJ17" s="3"/>
      <c r="AK17" s="3" t="str">
        <f t="shared" si="1"/>
        <v>Auburn VSD</v>
      </c>
      <c r="AL17" s="3" t="str">
        <f>'St of Act-Exp'!A17</f>
        <v>Auburn VSD</v>
      </c>
      <c r="AM17" s="16" t="b">
        <f t="shared" si="2"/>
        <v>1</v>
      </c>
      <c r="AO17" s="3" t="str">
        <f t="shared" si="3"/>
        <v>Lake</v>
      </c>
      <c r="AP17" s="3" t="str">
        <f>'St of Act-Exp'!C17</f>
        <v>Lake</v>
      </c>
      <c r="AQ17" s="16" t="b">
        <f t="shared" si="4"/>
        <v>1</v>
      </c>
    </row>
    <row r="18" spans="1:43">
      <c r="A18" s="3" t="s">
        <v>326</v>
      </c>
      <c r="B18" s="16"/>
      <c r="C18" s="16" t="s">
        <v>152</v>
      </c>
      <c r="E18" s="16">
        <v>50856</v>
      </c>
      <c r="G18" s="3">
        <v>913553</v>
      </c>
      <c r="H18" s="3"/>
      <c r="I18" s="3">
        <v>33817</v>
      </c>
      <c r="J18" s="3"/>
      <c r="K18" s="8">
        <f t="shared" si="6"/>
        <v>1762482</v>
      </c>
      <c r="L18" s="3"/>
      <c r="M18" s="3">
        <v>2709852</v>
      </c>
      <c r="N18" s="3"/>
      <c r="O18" s="8">
        <f t="shared" si="7"/>
        <v>617533</v>
      </c>
      <c r="P18" s="3"/>
      <c r="Q18" s="3">
        <v>1617060</v>
      </c>
      <c r="R18" s="3"/>
      <c r="S18" s="3">
        <v>2234593</v>
      </c>
      <c r="T18" s="3"/>
      <c r="U18" s="3">
        <f>26511+10656</f>
        <v>37167</v>
      </c>
      <c r="V18" s="3"/>
      <c r="W18" s="3">
        <f>22817+11000</f>
        <v>33817</v>
      </c>
      <c r="X18" s="3"/>
      <c r="Y18" s="3">
        <v>0</v>
      </c>
      <c r="Z18" s="3"/>
      <c r="AA18" s="3">
        <v>395244</v>
      </c>
      <c r="AB18" s="3"/>
      <c r="AC18" s="3">
        <v>9031</v>
      </c>
      <c r="AD18" s="3"/>
      <c r="AE18" s="27">
        <f t="shared" si="5"/>
        <v>475259</v>
      </c>
      <c r="AF18" s="16"/>
      <c r="AG18" s="3">
        <f t="shared" si="0"/>
        <v>0</v>
      </c>
      <c r="AJ18" s="3"/>
      <c r="AK18" s="3" t="str">
        <f t="shared" si="1"/>
        <v>Belmont-Harrison VSD</v>
      </c>
      <c r="AL18" s="3" t="str">
        <f>'St of Act-Exp'!A18</f>
        <v>Belmont-Harrison VSD</v>
      </c>
      <c r="AM18" s="16" t="b">
        <f t="shared" si="2"/>
        <v>1</v>
      </c>
      <c r="AO18" s="3" t="str">
        <f t="shared" si="3"/>
        <v>Belmont</v>
      </c>
      <c r="AP18" s="3" t="str">
        <f>'St of Act-Exp'!C18</f>
        <v>Belmont</v>
      </c>
      <c r="AQ18" s="16" t="b">
        <f t="shared" si="4"/>
        <v>1</v>
      </c>
    </row>
    <row r="19" spans="1:43">
      <c r="A19" s="3" t="s">
        <v>227</v>
      </c>
      <c r="B19" s="16"/>
      <c r="C19" s="16" t="s">
        <v>202</v>
      </c>
      <c r="E19" s="16">
        <v>51656</v>
      </c>
      <c r="G19" s="3">
        <v>13149520</v>
      </c>
      <c r="H19" s="3"/>
      <c r="I19" s="3">
        <v>41084</v>
      </c>
      <c r="J19" s="3"/>
      <c r="K19" s="8">
        <f t="shared" si="6"/>
        <v>4642854</v>
      </c>
      <c r="L19" s="3"/>
      <c r="M19" s="3">
        <v>17833458</v>
      </c>
      <c r="N19" s="3"/>
      <c r="O19" s="8">
        <f t="shared" si="7"/>
        <v>1340436</v>
      </c>
      <c r="P19" s="3"/>
      <c r="Q19" s="3">
        <f>3560736+293207</f>
        <v>3853943</v>
      </c>
      <c r="R19" s="3"/>
      <c r="S19" s="3">
        <v>5194379</v>
      </c>
      <c r="T19" s="3"/>
      <c r="U19" s="3">
        <f>115506+10161</f>
        <v>125667</v>
      </c>
      <c r="V19" s="3"/>
      <c r="W19" s="3">
        <f>41084+1993</f>
        <v>43077</v>
      </c>
      <c r="X19" s="3"/>
      <c r="Y19" s="3">
        <v>0</v>
      </c>
      <c r="Z19" s="3"/>
      <c r="AA19" s="3">
        <f>31438+32936+363612+97003+113577+30414</f>
        <v>668980</v>
      </c>
      <c r="AB19" s="3"/>
      <c r="AC19" s="3">
        <v>11801355</v>
      </c>
      <c r="AD19" s="3"/>
      <c r="AE19" s="27">
        <f t="shared" si="5"/>
        <v>12639079</v>
      </c>
      <c r="AF19" s="16"/>
      <c r="AG19" s="3">
        <f t="shared" si="0"/>
        <v>0</v>
      </c>
      <c r="AJ19" s="3"/>
      <c r="AK19" s="3" t="str">
        <f t="shared" si="1"/>
        <v>Buckeye JVSD</v>
      </c>
      <c r="AL19" s="3" t="str">
        <f>'St of Act-Exp'!A19</f>
        <v>Buckeye JVSD</v>
      </c>
      <c r="AM19" s="16" t="b">
        <f t="shared" si="2"/>
        <v>1</v>
      </c>
      <c r="AO19" s="3" t="str">
        <f t="shared" si="3"/>
        <v>Tuscarawas</v>
      </c>
      <c r="AP19" s="3" t="str">
        <f>'St of Act-Exp'!C19</f>
        <v>Tuscarawas</v>
      </c>
      <c r="AQ19" s="16" t="b">
        <f t="shared" si="4"/>
        <v>1</v>
      </c>
    </row>
    <row r="20" spans="1:43">
      <c r="A20" s="3" t="s">
        <v>287</v>
      </c>
      <c r="B20" s="16"/>
      <c r="C20" s="16" t="s">
        <v>150</v>
      </c>
      <c r="E20" s="16">
        <v>50880</v>
      </c>
      <c r="G20" s="3">
        <v>13419607</v>
      </c>
      <c r="H20" s="3"/>
      <c r="I20" s="3">
        <v>467953</v>
      </c>
      <c r="J20" s="3"/>
      <c r="K20" s="8">
        <f t="shared" si="6"/>
        <v>15467653</v>
      </c>
      <c r="L20" s="3"/>
      <c r="M20" s="3">
        <v>29355213</v>
      </c>
      <c r="N20" s="3"/>
      <c r="O20" s="8">
        <f t="shared" si="7"/>
        <v>3771643</v>
      </c>
      <c r="P20" s="3"/>
      <c r="Q20" s="3">
        <v>14974807</v>
      </c>
      <c r="R20" s="3"/>
      <c r="S20" s="3">
        <v>18746450</v>
      </c>
      <c r="T20" s="3"/>
      <c r="U20" s="3">
        <v>0</v>
      </c>
      <c r="V20" s="3"/>
      <c r="W20" s="3">
        <v>0</v>
      </c>
      <c r="X20" s="3"/>
      <c r="Y20" s="3">
        <v>312147</v>
      </c>
      <c r="Z20" s="3"/>
      <c r="AA20" s="3">
        <v>5450546</v>
      </c>
      <c r="AB20" s="3"/>
      <c r="AC20" s="3">
        <v>4846070</v>
      </c>
      <c r="AD20" s="3"/>
      <c r="AE20" s="27">
        <f t="shared" si="5"/>
        <v>10608763</v>
      </c>
      <c r="AF20" s="16"/>
      <c r="AG20" s="3">
        <f t="shared" si="0"/>
        <v>0</v>
      </c>
      <c r="AJ20" s="3"/>
      <c r="AK20" s="3" t="str">
        <f t="shared" si="1"/>
        <v>Butler Technology and Career Development</v>
      </c>
      <c r="AL20" s="3" t="str">
        <f>'St of Act-Exp'!A20</f>
        <v>Butler Technology and Career Development</v>
      </c>
      <c r="AM20" s="16" t="b">
        <f t="shared" si="2"/>
        <v>1</v>
      </c>
      <c r="AO20" s="3" t="str">
        <f t="shared" si="3"/>
        <v>Butler</v>
      </c>
      <c r="AP20" s="3" t="str">
        <f>'St of Act-Exp'!C20</f>
        <v>Butler</v>
      </c>
      <c r="AQ20" s="16" t="b">
        <f t="shared" si="4"/>
        <v>1</v>
      </c>
    </row>
    <row r="21" spans="1:43">
      <c r="A21" s="3" t="s">
        <v>291</v>
      </c>
      <c r="B21" s="16"/>
      <c r="C21" s="16" t="s">
        <v>176</v>
      </c>
      <c r="E21" s="16">
        <v>51201</v>
      </c>
      <c r="G21" s="3">
        <f>3228956+2212</f>
        <v>3231168</v>
      </c>
      <c r="H21" s="3"/>
      <c r="I21" s="3">
        <v>0</v>
      </c>
      <c r="J21" s="3"/>
      <c r="K21" s="8">
        <f>+M21-I21-G21</f>
        <v>7520431</v>
      </c>
      <c r="L21" s="3"/>
      <c r="M21" s="3">
        <v>10751599</v>
      </c>
      <c r="N21" s="3"/>
      <c r="O21" s="8">
        <f>+S21-Q21</f>
        <v>1088958</v>
      </c>
      <c r="P21" s="3"/>
      <c r="Q21" s="3">
        <v>6521600</v>
      </c>
      <c r="R21" s="3"/>
      <c r="S21" s="3">
        <v>7610558</v>
      </c>
      <c r="T21" s="3"/>
      <c r="U21" s="3">
        <v>53176</v>
      </c>
      <c r="V21" s="3"/>
      <c r="W21" s="3">
        <v>0</v>
      </c>
      <c r="X21" s="3"/>
      <c r="Y21" s="3">
        <v>144489</v>
      </c>
      <c r="Z21" s="3"/>
      <c r="AA21" s="3">
        <v>467986</v>
      </c>
      <c r="AB21" s="3"/>
      <c r="AC21" s="3">
        <v>2475390</v>
      </c>
      <c r="AD21" s="3"/>
      <c r="AE21" s="27">
        <f>SUM(U21:AC21)</f>
        <v>3141041</v>
      </c>
      <c r="AF21" s="16"/>
      <c r="AG21" s="3">
        <f>+G21+I21+K21-O21-Q21-AA21-Y21-U21-W21-AC21</f>
        <v>0</v>
      </c>
      <c r="AJ21" s="3"/>
      <c r="AK21" s="3" t="str">
        <f>A21</f>
        <v>Career and Technology Education Centers of Licking County</v>
      </c>
      <c r="AL21" s="3" t="str">
        <f>'St of Act-Exp'!A21</f>
        <v>Career and Technology Education Centers of Licking County</v>
      </c>
      <c r="AM21" s="16" t="b">
        <f>AK21=AL21</f>
        <v>1</v>
      </c>
      <c r="AO21" s="3" t="str">
        <f>C21</f>
        <v>Licking</v>
      </c>
      <c r="AP21" s="3" t="str">
        <f>'St of Act-Exp'!C21</f>
        <v>Licking</v>
      </c>
      <c r="AQ21" s="16" t="b">
        <f>C21=AP21</f>
        <v>1</v>
      </c>
    </row>
    <row r="22" spans="1:43" s="72" customFormat="1" hidden="1">
      <c r="A22" s="65" t="s">
        <v>289</v>
      </c>
      <c r="B22" s="66"/>
      <c r="C22" s="66" t="s">
        <v>220</v>
      </c>
      <c r="E22" s="66">
        <v>63511</v>
      </c>
      <c r="G22" s="65"/>
      <c r="H22" s="65"/>
      <c r="I22" s="65"/>
      <c r="J22" s="65"/>
      <c r="K22" s="70">
        <f t="shared" si="6"/>
        <v>0</v>
      </c>
      <c r="L22" s="65"/>
      <c r="M22" s="65"/>
      <c r="N22" s="65"/>
      <c r="O22" s="70">
        <f t="shared" si="7"/>
        <v>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73">
        <f t="shared" si="5"/>
        <v>0</v>
      </c>
      <c r="AF22" s="66"/>
      <c r="AG22" s="65">
        <f t="shared" si="0"/>
        <v>0</v>
      </c>
      <c r="AJ22" s="66" t="s">
        <v>304</v>
      </c>
      <c r="AK22" s="65" t="str">
        <f t="shared" si="1"/>
        <v>Central Ohio JVSD- now Tolles Career &amp; Technical Center since 2005</v>
      </c>
      <c r="AL22" s="65" t="str">
        <f>'St of Act-Exp'!A22</f>
        <v>Central Ohio JVSD- now Tolles Career &amp; Technical Center since 2005</v>
      </c>
      <c r="AM22" s="66" t="b">
        <f t="shared" si="2"/>
        <v>1</v>
      </c>
      <c r="AO22" s="65" t="str">
        <f t="shared" si="3"/>
        <v>Madison</v>
      </c>
      <c r="AP22" s="65" t="str">
        <f>'St of Act-Exp'!C22</f>
        <v>Madison</v>
      </c>
      <c r="AQ22" s="66" t="b">
        <f t="shared" si="4"/>
        <v>1</v>
      </c>
    </row>
    <row r="23" spans="1:43">
      <c r="A23" s="3" t="s">
        <v>288</v>
      </c>
      <c r="B23" s="16"/>
      <c r="C23" s="16" t="s">
        <v>159</v>
      </c>
      <c r="E23" s="16">
        <v>50906</v>
      </c>
      <c r="G23" s="3">
        <v>3598619</v>
      </c>
      <c r="H23" s="3"/>
      <c r="I23" s="3">
        <v>0</v>
      </c>
      <c r="J23" s="3"/>
      <c r="K23" s="8">
        <f t="shared" si="6"/>
        <v>2095528</v>
      </c>
      <c r="L23" s="3"/>
      <c r="M23" s="3">
        <v>5694147</v>
      </c>
      <c r="N23" s="3"/>
      <c r="O23" s="8">
        <f t="shared" si="7"/>
        <v>368622</v>
      </c>
      <c r="P23" s="3"/>
      <c r="Q23" s="3">
        <f>183146+1863800</f>
        <v>2046946</v>
      </c>
      <c r="R23" s="3"/>
      <c r="S23" s="3">
        <v>2415568</v>
      </c>
      <c r="T23" s="3"/>
      <c r="U23" s="3">
        <v>0</v>
      </c>
      <c r="V23" s="3"/>
      <c r="W23" s="3">
        <v>0</v>
      </c>
      <c r="X23" s="3"/>
      <c r="Y23" s="3">
        <v>0</v>
      </c>
      <c r="Z23" s="3"/>
      <c r="AA23" s="3">
        <f>7093+27921+600+81+36750</f>
        <v>72445</v>
      </c>
      <c r="AB23" s="3"/>
      <c r="AC23" s="3">
        <v>3206134</v>
      </c>
      <c r="AD23" s="3"/>
      <c r="AE23" s="27">
        <f t="shared" si="5"/>
        <v>3278579</v>
      </c>
      <c r="AF23" s="16"/>
      <c r="AG23" s="3">
        <f t="shared" si="0"/>
        <v>0</v>
      </c>
      <c r="AJ23" s="3"/>
      <c r="AK23" s="3" t="str">
        <f t="shared" si="1"/>
        <v>Columbiana County Career &amp; Technical Center</v>
      </c>
      <c r="AL23" s="3" t="str">
        <f>'St of Act-Exp'!A23</f>
        <v>Columbiana County Career &amp; Technical Center</v>
      </c>
      <c r="AM23" s="16" t="b">
        <f t="shared" si="2"/>
        <v>1</v>
      </c>
      <c r="AO23" s="3" t="str">
        <f t="shared" si="3"/>
        <v>Columbiana</v>
      </c>
      <c r="AP23" s="3" t="str">
        <f>'St of Act-Exp'!C23</f>
        <v>Columbiana</v>
      </c>
      <c r="AQ23" s="16" t="b">
        <f t="shared" si="4"/>
        <v>1</v>
      </c>
    </row>
    <row r="24" spans="1:43">
      <c r="A24" s="3" t="s">
        <v>253</v>
      </c>
      <c r="B24" s="16"/>
      <c r="C24" s="16" t="s">
        <v>213</v>
      </c>
      <c r="E24" s="16">
        <v>65227</v>
      </c>
      <c r="G24" s="3">
        <v>926290</v>
      </c>
      <c r="H24" s="3"/>
      <c r="I24" s="3">
        <v>0</v>
      </c>
      <c r="J24" s="3"/>
      <c r="K24" s="8">
        <f t="shared" si="6"/>
        <v>1327143</v>
      </c>
      <c r="L24" s="3"/>
      <c r="M24" s="3">
        <v>2253433</v>
      </c>
      <c r="N24" s="3"/>
      <c r="O24" s="8">
        <f t="shared" si="7"/>
        <v>230107</v>
      </c>
      <c r="P24" s="3"/>
      <c r="Q24" s="3">
        <v>1253298</v>
      </c>
      <c r="R24" s="3"/>
      <c r="S24" s="3">
        <v>1483405</v>
      </c>
      <c r="T24" s="3"/>
      <c r="U24" s="3">
        <v>16489</v>
      </c>
      <c r="V24" s="3"/>
      <c r="W24" s="3">
        <v>0</v>
      </c>
      <c r="X24" s="3"/>
      <c r="Y24" s="3">
        <v>0</v>
      </c>
      <c r="Z24" s="3"/>
      <c r="AA24" s="3">
        <v>24122</v>
      </c>
      <c r="AB24" s="3"/>
      <c r="AC24" s="3">
        <v>729417</v>
      </c>
      <c r="AD24" s="3"/>
      <c r="AE24" s="27">
        <f t="shared" si="5"/>
        <v>770028</v>
      </c>
      <c r="AF24" s="16"/>
      <c r="AG24" s="3">
        <f t="shared" si="0"/>
        <v>0</v>
      </c>
      <c r="AJ24" s="3"/>
      <c r="AK24" s="3" t="str">
        <f t="shared" si="1"/>
        <v>Coshocton County Career Center</v>
      </c>
      <c r="AL24" s="3" t="str">
        <f>'St of Act-Exp'!A24</f>
        <v>Coshocton County Career Center</v>
      </c>
      <c r="AM24" s="16" t="b">
        <f t="shared" si="2"/>
        <v>1</v>
      </c>
      <c r="AO24" s="3" t="str">
        <f t="shared" si="3"/>
        <v>Coshocton</v>
      </c>
      <c r="AP24" s="3" t="str">
        <f>'St of Act-Exp'!C24</f>
        <v>Coshocton</v>
      </c>
      <c r="AQ24" s="16" t="b">
        <f t="shared" si="4"/>
        <v>1</v>
      </c>
    </row>
    <row r="25" spans="1:43">
      <c r="A25" s="3" t="s">
        <v>251</v>
      </c>
      <c r="B25" s="16"/>
      <c r="C25" s="16" t="s">
        <v>160</v>
      </c>
      <c r="E25" s="16">
        <v>50922</v>
      </c>
      <c r="G25" s="3">
        <f>7984909+6408626</f>
        <v>14393535</v>
      </c>
      <c r="H25" s="3"/>
      <c r="I25" s="3">
        <v>0</v>
      </c>
      <c r="J25" s="3"/>
      <c r="K25" s="8">
        <f t="shared" si="6"/>
        <v>11546770</v>
      </c>
      <c r="L25" s="3"/>
      <c r="M25" s="3">
        <v>25940305</v>
      </c>
      <c r="N25" s="3"/>
      <c r="O25" s="8">
        <f t="shared" si="7"/>
        <v>2008170</v>
      </c>
      <c r="P25" s="3"/>
      <c r="Q25" s="3">
        <f>1044102+8944885</f>
        <v>9988987</v>
      </c>
      <c r="R25" s="3"/>
      <c r="S25" s="3">
        <v>11997157</v>
      </c>
      <c r="T25" s="3"/>
      <c r="U25" s="3">
        <f>8817+19123</f>
        <v>27940</v>
      </c>
      <c r="V25" s="3"/>
      <c r="W25" s="3">
        <v>6402</v>
      </c>
      <c r="X25" s="3"/>
      <c r="Y25" s="3">
        <f>14955+7898+118479+33000</f>
        <v>174332</v>
      </c>
      <c r="Z25" s="3"/>
      <c r="AA25" s="3">
        <f>334711+811099+72033+19983+91562</f>
        <v>1329388</v>
      </c>
      <c r="AB25" s="3"/>
      <c r="AC25" s="3">
        <v>12405086</v>
      </c>
      <c r="AD25" s="3"/>
      <c r="AE25" s="27">
        <f t="shared" si="5"/>
        <v>13943148</v>
      </c>
      <c r="AF25" s="16"/>
      <c r="AG25" s="3">
        <f t="shared" si="0"/>
        <v>0</v>
      </c>
      <c r="AJ25" s="3"/>
      <c r="AK25" s="3" t="str">
        <f t="shared" si="1"/>
        <v>Cuyahoga Valley Career Center</v>
      </c>
      <c r="AL25" s="3" t="str">
        <f>'St of Act-Exp'!A25</f>
        <v>Cuyahoga Valley Career Center</v>
      </c>
      <c r="AM25" s="16" t="b">
        <f t="shared" si="2"/>
        <v>1</v>
      </c>
      <c r="AO25" s="3" t="str">
        <f t="shared" si="3"/>
        <v>Cuyahoga</v>
      </c>
      <c r="AP25" s="3" t="str">
        <f>'St of Act-Exp'!C25</f>
        <v>Cuyahoga</v>
      </c>
      <c r="AQ25" s="16" t="b">
        <f t="shared" si="4"/>
        <v>1</v>
      </c>
    </row>
    <row r="26" spans="1:43">
      <c r="A26" s="3" t="s">
        <v>250</v>
      </c>
      <c r="B26" s="16"/>
      <c r="C26" s="16" t="s">
        <v>162</v>
      </c>
      <c r="E26" s="16">
        <v>50989</v>
      </c>
      <c r="G26" s="3">
        <v>18094405</v>
      </c>
      <c r="H26" s="3"/>
      <c r="I26" s="3">
        <v>0</v>
      </c>
      <c r="J26" s="3"/>
      <c r="K26" s="8">
        <f t="shared" si="6"/>
        <v>9749776</v>
      </c>
      <c r="L26" s="3"/>
      <c r="M26" s="3">
        <v>27844181</v>
      </c>
      <c r="N26" s="3"/>
      <c r="O26" s="8">
        <f t="shared" si="7"/>
        <v>1093557</v>
      </c>
      <c r="P26" s="3"/>
      <c r="Q26" s="3">
        <f>324859+7904849</f>
        <v>8229708</v>
      </c>
      <c r="R26" s="3"/>
      <c r="S26" s="3">
        <v>9323265</v>
      </c>
      <c r="T26" s="3"/>
      <c r="U26" s="3">
        <f>41367+29112</f>
        <v>70479</v>
      </c>
      <c r="V26" s="3"/>
      <c r="W26" s="3">
        <v>0</v>
      </c>
      <c r="X26" s="3"/>
      <c r="Y26" s="3">
        <v>0</v>
      </c>
      <c r="Z26" s="3"/>
      <c r="AA26" s="3">
        <f>49365+182151+42331+88241</f>
        <v>362088</v>
      </c>
      <c r="AB26" s="3"/>
      <c r="AC26" s="3">
        <v>18088349</v>
      </c>
      <c r="AD26" s="3"/>
      <c r="AE26" s="27">
        <f t="shared" si="5"/>
        <v>18520916</v>
      </c>
      <c r="AF26" s="16"/>
      <c r="AG26" s="3">
        <f t="shared" si="0"/>
        <v>0</v>
      </c>
      <c r="AJ26" s="3"/>
      <c r="AK26" s="3" t="str">
        <f t="shared" si="1"/>
        <v>Delaware Area Career Center</v>
      </c>
      <c r="AL26" s="3" t="str">
        <f>'St of Act-Exp'!A26</f>
        <v>Delaware Area Career Center</v>
      </c>
      <c r="AM26" s="16" t="b">
        <f t="shared" si="2"/>
        <v>1</v>
      </c>
      <c r="AO26" s="3" t="str">
        <f t="shared" si="3"/>
        <v>Delaware</v>
      </c>
      <c r="AP26" s="3" t="str">
        <f>'St of Act-Exp'!C26</f>
        <v>Delaware</v>
      </c>
      <c r="AQ26" s="16" t="b">
        <f t="shared" si="4"/>
        <v>1</v>
      </c>
    </row>
    <row r="27" spans="1:43">
      <c r="A27" s="3" t="s">
        <v>307</v>
      </c>
      <c r="B27" s="16"/>
      <c r="C27" s="16" t="s">
        <v>165</v>
      </c>
      <c r="E27" s="16">
        <v>51003</v>
      </c>
      <c r="G27" s="3">
        <v>17433686</v>
      </c>
      <c r="H27" s="3"/>
      <c r="I27" s="3">
        <v>27745</v>
      </c>
      <c r="J27" s="3"/>
      <c r="K27" s="8">
        <f t="shared" si="6"/>
        <v>14493456</v>
      </c>
      <c r="L27" s="3"/>
      <c r="M27" s="3">
        <v>31954887</v>
      </c>
      <c r="N27" s="3"/>
      <c r="O27" s="8">
        <f t="shared" si="7"/>
        <v>2454027</v>
      </c>
      <c r="P27" s="3"/>
      <c r="Q27" s="3">
        <v>10087857</v>
      </c>
      <c r="R27" s="3"/>
      <c r="S27" s="3">
        <v>12541884</v>
      </c>
      <c r="T27" s="3"/>
      <c r="U27" s="3">
        <v>0</v>
      </c>
      <c r="V27" s="3"/>
      <c r="W27" s="3">
        <v>0</v>
      </c>
      <c r="X27" s="3"/>
      <c r="Y27" s="3">
        <v>0</v>
      </c>
      <c r="Z27" s="3"/>
      <c r="AA27" s="3">
        <v>2911383</v>
      </c>
      <c r="AB27" s="3"/>
      <c r="AC27" s="3">
        <v>16501620</v>
      </c>
      <c r="AD27" s="3"/>
      <c r="AE27" s="27">
        <f t="shared" si="5"/>
        <v>19413003</v>
      </c>
      <c r="AF27" s="16"/>
      <c r="AG27" s="3">
        <f t="shared" si="0"/>
        <v>0</v>
      </c>
      <c r="AJ27" s="3"/>
      <c r="AK27" s="3" t="str">
        <f t="shared" si="1"/>
        <v>Eastland-Fairfield Career and Tech Center</v>
      </c>
      <c r="AL27" s="3" t="str">
        <f>'St of Act-Exp'!A27</f>
        <v>Eastland-Fairfield Career and Tech Center</v>
      </c>
      <c r="AM27" s="16" t="b">
        <f t="shared" si="2"/>
        <v>1</v>
      </c>
      <c r="AO27" s="3" t="str">
        <f t="shared" si="3"/>
        <v>Franklin</v>
      </c>
      <c r="AP27" s="3" t="str">
        <f>'St of Act-Exp'!C27</f>
        <v>Franklin</v>
      </c>
      <c r="AQ27" s="16" t="b">
        <f t="shared" si="4"/>
        <v>1</v>
      </c>
    </row>
    <row r="28" spans="1:43">
      <c r="A28" s="3" t="s">
        <v>252</v>
      </c>
      <c r="B28" s="16"/>
      <c r="C28" s="16" t="s">
        <v>163</v>
      </c>
      <c r="E28" s="16">
        <v>51029</v>
      </c>
      <c r="G28" s="3">
        <v>5116187</v>
      </c>
      <c r="H28" s="3"/>
      <c r="I28" s="3">
        <v>0</v>
      </c>
      <c r="J28" s="3"/>
      <c r="K28" s="8">
        <f t="shared" si="6"/>
        <v>7418103</v>
      </c>
      <c r="L28" s="3"/>
      <c r="M28" s="3">
        <v>12534290</v>
      </c>
      <c r="N28" s="3"/>
      <c r="O28" s="8">
        <f t="shared" si="7"/>
        <v>1160287</v>
      </c>
      <c r="P28" s="3"/>
      <c r="Q28" s="3">
        <f>577613+5658154</f>
        <v>6235767</v>
      </c>
      <c r="R28" s="3"/>
      <c r="S28" s="3">
        <v>7396054</v>
      </c>
      <c r="T28" s="3"/>
      <c r="U28" s="3">
        <f>10225+16232</f>
        <v>26457</v>
      </c>
      <c r="V28" s="3"/>
      <c r="W28" s="3">
        <v>3743</v>
      </c>
      <c r="X28" s="3"/>
      <c r="Y28" s="3">
        <v>0</v>
      </c>
      <c r="Z28" s="3"/>
      <c r="AA28" s="3">
        <f>15210+53157+18869+71475</f>
        <v>158711</v>
      </c>
      <c r="AB28" s="3"/>
      <c r="AC28" s="3">
        <v>4949325</v>
      </c>
      <c r="AD28" s="3"/>
      <c r="AE28" s="27">
        <f t="shared" si="5"/>
        <v>5138236</v>
      </c>
      <c r="AF28" s="16"/>
      <c r="AG28" s="3">
        <f t="shared" si="0"/>
        <v>0</v>
      </c>
      <c r="AJ28" s="3" t="s">
        <v>383</v>
      </c>
      <c r="AK28" s="3" t="str">
        <f t="shared" si="1"/>
        <v>Ehove Career Center</v>
      </c>
      <c r="AL28" s="3" t="str">
        <f>'St of Act-Exp'!A28</f>
        <v>Ehove Career Center</v>
      </c>
      <c r="AM28" s="16" t="b">
        <f t="shared" si="2"/>
        <v>1</v>
      </c>
      <c r="AO28" s="3" t="str">
        <f t="shared" si="3"/>
        <v>Erie</v>
      </c>
      <c r="AP28" s="3" t="str">
        <f>'St of Act-Exp'!C28</f>
        <v>Erie</v>
      </c>
      <c r="AQ28" s="16" t="b">
        <f t="shared" si="4"/>
        <v>1</v>
      </c>
    </row>
    <row r="29" spans="1:43">
      <c r="A29" s="3" t="s">
        <v>254</v>
      </c>
      <c r="B29" s="16"/>
      <c r="C29" s="16" t="s">
        <v>215</v>
      </c>
      <c r="E29" s="16">
        <v>50963</v>
      </c>
      <c r="G29" s="3">
        <f>5707924+1845818</f>
        <v>7553742</v>
      </c>
      <c r="H29" s="3"/>
      <c r="I29" s="3">
        <v>725000</v>
      </c>
      <c r="J29" s="3"/>
      <c r="K29" s="8">
        <f t="shared" si="6"/>
        <v>5525827</v>
      </c>
      <c r="L29" s="3"/>
      <c r="M29" s="3">
        <v>13804569</v>
      </c>
      <c r="N29" s="3"/>
      <c r="O29" s="8">
        <f t="shared" si="7"/>
        <v>1431584</v>
      </c>
      <c r="P29" s="3"/>
      <c r="Q29" s="3">
        <v>4799103</v>
      </c>
      <c r="R29" s="3"/>
      <c r="S29" s="3">
        <v>6230687</v>
      </c>
      <c r="T29" s="3"/>
      <c r="U29" s="3">
        <v>203666</v>
      </c>
      <c r="V29" s="3"/>
      <c r="W29" s="3">
        <v>0</v>
      </c>
      <c r="X29" s="3"/>
      <c r="Y29" s="3">
        <v>0</v>
      </c>
      <c r="Z29" s="3"/>
      <c r="AA29" s="3">
        <v>74045</v>
      </c>
      <c r="AB29" s="3"/>
      <c r="AC29" s="3">
        <v>7296171</v>
      </c>
      <c r="AD29" s="3"/>
      <c r="AE29" s="27">
        <f t="shared" si="5"/>
        <v>7573882</v>
      </c>
      <c r="AF29" s="16"/>
      <c r="AG29" s="3">
        <f t="shared" si="0"/>
        <v>0</v>
      </c>
      <c r="AJ29" s="3"/>
      <c r="AK29" s="3" t="str">
        <f t="shared" si="1"/>
        <v>Four County Career Center</v>
      </c>
      <c r="AL29" s="3" t="str">
        <f>'St of Act-Exp'!A29</f>
        <v>Four County Career Center</v>
      </c>
      <c r="AM29" s="16" t="b">
        <f t="shared" si="2"/>
        <v>1</v>
      </c>
      <c r="AO29" s="3" t="str">
        <f t="shared" si="3"/>
        <v>Henry</v>
      </c>
      <c r="AP29" s="3" t="str">
        <f>'St of Act-Exp'!C29</f>
        <v>Henry</v>
      </c>
      <c r="AQ29" s="16" t="b">
        <f t="shared" si="4"/>
        <v>1</v>
      </c>
    </row>
    <row r="30" spans="1:43">
      <c r="A30" s="3" t="s">
        <v>214</v>
      </c>
      <c r="B30" s="16"/>
      <c r="C30" s="16" t="s">
        <v>168</v>
      </c>
      <c r="E30" s="16">
        <v>62067</v>
      </c>
      <c r="G30" s="3">
        <v>1993606</v>
      </c>
      <c r="H30" s="3"/>
      <c r="I30" s="3">
        <v>32757</v>
      </c>
      <c r="J30" s="3"/>
      <c r="K30" s="8">
        <f t="shared" si="6"/>
        <v>3279899</v>
      </c>
      <c r="L30" s="3"/>
      <c r="M30" s="3">
        <v>5306262</v>
      </c>
      <c r="N30" s="3"/>
      <c r="O30" s="8">
        <f t="shared" si="7"/>
        <v>796877</v>
      </c>
      <c r="P30" s="3"/>
      <c r="Q30" s="3">
        <v>2972643</v>
      </c>
      <c r="R30" s="3"/>
      <c r="S30" s="3">
        <v>3769520</v>
      </c>
      <c r="T30" s="3"/>
      <c r="U30" s="3">
        <v>25563</v>
      </c>
      <c r="V30" s="3"/>
      <c r="W30" s="3">
        <v>32757</v>
      </c>
      <c r="X30" s="3"/>
      <c r="Y30" s="3">
        <v>439</v>
      </c>
      <c r="Z30" s="3"/>
      <c r="AA30" s="3">
        <v>399001</v>
      </c>
      <c r="AB30" s="3"/>
      <c r="AC30" s="3">
        <v>1078982</v>
      </c>
      <c r="AD30" s="3"/>
      <c r="AE30" s="27">
        <f t="shared" si="5"/>
        <v>1536742</v>
      </c>
      <c r="AF30" s="16"/>
      <c r="AG30" s="3">
        <f t="shared" si="0"/>
        <v>0</v>
      </c>
      <c r="AJ30" s="3"/>
      <c r="AK30" s="3" t="str">
        <f t="shared" si="1"/>
        <v>Gallia-Jackson-Vinton JVSD</v>
      </c>
      <c r="AL30" s="3" t="str">
        <f>'St of Act-Exp'!A30</f>
        <v>Gallia-Jackson-Vinton JVSD</v>
      </c>
      <c r="AM30" s="16" t="b">
        <f t="shared" si="2"/>
        <v>1</v>
      </c>
      <c r="AO30" s="3" t="str">
        <f t="shared" si="3"/>
        <v>Gallia</v>
      </c>
      <c r="AP30" s="3" t="str">
        <f>'St of Act-Exp'!C30</f>
        <v>Gallia</v>
      </c>
      <c r="AQ30" s="16" t="b">
        <f t="shared" si="4"/>
        <v>1</v>
      </c>
    </row>
    <row r="31" spans="1:43">
      <c r="A31" s="3" t="s">
        <v>327</v>
      </c>
      <c r="B31" s="16"/>
      <c r="C31" s="16" t="s">
        <v>171</v>
      </c>
      <c r="E31" s="16">
        <v>51060</v>
      </c>
      <c r="G31" s="3">
        <v>27840560</v>
      </c>
      <c r="H31" s="3"/>
      <c r="I31" s="3">
        <v>0</v>
      </c>
      <c r="J31" s="3"/>
      <c r="K31" s="8">
        <f>+M31-I31-G31</f>
        <v>39059835</v>
      </c>
      <c r="L31" s="3"/>
      <c r="M31" s="3">
        <v>66900395</v>
      </c>
      <c r="N31" s="3"/>
      <c r="O31" s="8">
        <f>+S31-Q31</f>
        <v>3867473</v>
      </c>
      <c r="P31" s="3"/>
      <c r="Q31" s="3">
        <v>25994051</v>
      </c>
      <c r="R31" s="3"/>
      <c r="S31" s="3">
        <v>29861524</v>
      </c>
      <c r="T31" s="3"/>
      <c r="U31" s="3">
        <v>0</v>
      </c>
      <c r="V31" s="3"/>
      <c r="W31" s="3">
        <v>0</v>
      </c>
      <c r="X31" s="3"/>
      <c r="Y31" s="3">
        <v>0</v>
      </c>
      <c r="Z31" s="3"/>
      <c r="AA31" s="3">
        <v>941951</v>
      </c>
      <c r="AB31" s="3"/>
      <c r="AC31" s="3">
        <v>36096920</v>
      </c>
      <c r="AD31" s="3"/>
      <c r="AE31" s="27">
        <f t="shared" si="5"/>
        <v>37038871</v>
      </c>
      <c r="AF31" s="16"/>
      <c r="AG31" s="3">
        <f t="shared" si="0"/>
        <v>0</v>
      </c>
      <c r="AJ31" s="3" t="s">
        <v>383</v>
      </c>
      <c r="AK31" s="3" t="str">
        <f t="shared" si="1"/>
        <v>Great Oaks Inst of Technology &amp; Career Development</v>
      </c>
      <c r="AL31" s="3" t="str">
        <f>'St of Act-Exp'!A31</f>
        <v>Great Oaks Inst of Technology &amp; Career Development</v>
      </c>
      <c r="AM31" s="16" t="b">
        <f t="shared" si="2"/>
        <v>1</v>
      </c>
      <c r="AO31" s="3" t="str">
        <f t="shared" si="3"/>
        <v>Hamilton</v>
      </c>
      <c r="AP31" s="3" t="str">
        <f>'St of Act-Exp'!C31</f>
        <v>Hamilton</v>
      </c>
      <c r="AQ31" s="16" t="b">
        <f t="shared" si="4"/>
        <v>1</v>
      </c>
    </row>
    <row r="32" spans="1:43">
      <c r="A32" s="3" t="s">
        <v>386</v>
      </c>
      <c r="B32" s="16"/>
      <c r="C32" s="16" t="s">
        <v>170</v>
      </c>
      <c r="E32" s="16">
        <v>51045</v>
      </c>
      <c r="G32" s="3">
        <v>4822593</v>
      </c>
      <c r="H32" s="3"/>
      <c r="I32" s="3">
        <v>0</v>
      </c>
      <c r="J32" s="3"/>
      <c r="K32" s="8">
        <f t="shared" si="6"/>
        <v>7040033</v>
      </c>
      <c r="L32" s="3"/>
      <c r="M32" s="3">
        <v>11862626</v>
      </c>
      <c r="N32" s="3"/>
      <c r="O32" s="8">
        <f t="shared" si="7"/>
        <v>1309953</v>
      </c>
      <c r="P32" s="3"/>
      <c r="Q32" s="3">
        <v>6359628</v>
      </c>
      <c r="R32" s="3"/>
      <c r="S32" s="3">
        <v>7669581</v>
      </c>
      <c r="T32" s="3"/>
      <c r="U32" s="3">
        <v>28680</v>
      </c>
      <c r="V32" s="3"/>
      <c r="W32" s="3">
        <v>0</v>
      </c>
      <c r="X32" s="3"/>
      <c r="Y32" s="3">
        <v>116636</v>
      </c>
      <c r="Z32" s="3"/>
      <c r="AA32" s="3">
        <v>14579</v>
      </c>
      <c r="AB32" s="3"/>
      <c r="AC32" s="3">
        <v>4033150</v>
      </c>
      <c r="AD32" s="3"/>
      <c r="AE32" s="27">
        <f t="shared" si="5"/>
        <v>4193045</v>
      </c>
      <c r="AF32" s="16"/>
      <c r="AG32" s="3">
        <f t="shared" si="0"/>
        <v>0</v>
      </c>
      <c r="AJ32" s="3"/>
      <c r="AK32" s="3" t="str">
        <f t="shared" si="1"/>
        <v>Greene County VSD</v>
      </c>
      <c r="AL32" s="3" t="str">
        <f>'St of Act-Exp'!A32</f>
        <v>Greene County VSD</v>
      </c>
      <c r="AM32" s="16" t="b">
        <f t="shared" si="2"/>
        <v>1</v>
      </c>
      <c r="AO32" s="3" t="str">
        <f t="shared" si="3"/>
        <v>Greene</v>
      </c>
      <c r="AP32" s="3" t="str">
        <f>'St of Act-Exp'!C32</f>
        <v>Greene</v>
      </c>
      <c r="AQ32" s="16" t="b">
        <f t="shared" si="4"/>
        <v>1</v>
      </c>
    </row>
    <row r="33" spans="1:43">
      <c r="A33" s="3" t="s">
        <v>216</v>
      </c>
      <c r="B33" s="16"/>
      <c r="C33" s="16" t="s">
        <v>173</v>
      </c>
      <c r="E33" s="16">
        <v>51128</v>
      </c>
      <c r="G33" s="3">
        <v>25763</v>
      </c>
      <c r="H33" s="3"/>
      <c r="I33" s="3">
        <v>17604</v>
      </c>
      <c r="J33" s="3"/>
      <c r="K33" s="8">
        <f t="shared" si="6"/>
        <v>1707499</v>
      </c>
      <c r="L33" s="3"/>
      <c r="M33" s="3">
        <v>1750866</v>
      </c>
      <c r="N33" s="3"/>
      <c r="O33" s="8">
        <f t="shared" si="7"/>
        <v>454090</v>
      </c>
      <c r="P33" s="3"/>
      <c r="Q33" s="3">
        <v>1497355</v>
      </c>
      <c r="R33" s="3"/>
      <c r="S33" s="3">
        <v>1951445</v>
      </c>
      <c r="T33" s="3"/>
      <c r="U33" s="3">
        <v>83375</v>
      </c>
      <c r="V33" s="3"/>
      <c r="W33" s="3">
        <v>17604</v>
      </c>
      <c r="X33" s="3"/>
      <c r="Y33" s="3">
        <v>0</v>
      </c>
      <c r="Z33" s="3"/>
      <c r="AA33" s="3">
        <v>0</v>
      </c>
      <c r="AB33" s="3"/>
      <c r="AC33" s="3">
        <v>-301558</v>
      </c>
      <c r="AD33" s="3"/>
      <c r="AE33" s="27">
        <f t="shared" si="5"/>
        <v>-200579</v>
      </c>
      <c r="AF33" s="16"/>
      <c r="AG33" s="3">
        <f t="shared" si="0"/>
        <v>0</v>
      </c>
      <c r="AJ33" s="3"/>
      <c r="AK33" s="3" t="str">
        <f t="shared" si="1"/>
        <v>Jefferson County JVSD</v>
      </c>
      <c r="AL33" s="3" t="str">
        <f>'St of Act-Exp'!A33</f>
        <v>Jefferson County JVSD</v>
      </c>
      <c r="AM33" s="16" t="b">
        <f t="shared" si="2"/>
        <v>1</v>
      </c>
      <c r="AO33" s="3" t="str">
        <f t="shared" si="3"/>
        <v>Jefferson</v>
      </c>
      <c r="AP33" s="3" t="str">
        <f>'St of Act-Exp'!C33</f>
        <v>Jefferson</v>
      </c>
      <c r="AQ33" s="16" t="b">
        <f t="shared" si="4"/>
        <v>1</v>
      </c>
    </row>
    <row r="34" spans="1:43">
      <c r="A34" s="3" t="s">
        <v>255</v>
      </c>
      <c r="B34" s="16"/>
      <c r="C34" s="16" t="s">
        <v>174</v>
      </c>
      <c r="E34" s="16">
        <v>51144</v>
      </c>
      <c r="G34" s="3">
        <v>10140409</v>
      </c>
      <c r="H34" s="3"/>
      <c r="I34" s="3">
        <v>0</v>
      </c>
      <c r="J34" s="3"/>
      <c r="K34" s="8">
        <f t="shared" si="6"/>
        <v>4476231</v>
      </c>
      <c r="L34" s="3"/>
      <c r="M34" s="3">
        <v>14616640</v>
      </c>
      <c r="N34" s="3"/>
      <c r="O34" s="8">
        <f t="shared" si="7"/>
        <v>842238</v>
      </c>
      <c r="P34" s="3"/>
      <c r="Q34" s="3">
        <v>2062598</v>
      </c>
      <c r="R34" s="3"/>
      <c r="S34" s="3">
        <v>2904836</v>
      </c>
      <c r="T34" s="3"/>
      <c r="U34" s="3">
        <v>30778</v>
      </c>
      <c r="V34" s="3"/>
      <c r="W34" s="3">
        <v>0</v>
      </c>
      <c r="X34" s="3"/>
      <c r="Y34" s="3">
        <v>0</v>
      </c>
      <c r="Z34" s="3"/>
      <c r="AA34" s="3">
        <v>278887</v>
      </c>
      <c r="AB34" s="3"/>
      <c r="AC34" s="3">
        <v>11402139</v>
      </c>
      <c r="AD34" s="3"/>
      <c r="AE34" s="27">
        <f t="shared" si="5"/>
        <v>11711804</v>
      </c>
      <c r="AF34" s="16"/>
      <c r="AG34" s="3">
        <f t="shared" si="0"/>
        <v>0</v>
      </c>
      <c r="AJ34" s="3"/>
      <c r="AK34" s="3" t="str">
        <f t="shared" si="1"/>
        <v>Knox County Career Center</v>
      </c>
      <c r="AL34" s="3" t="str">
        <f>'St of Act-Exp'!A34</f>
        <v>Knox County Career Center</v>
      </c>
      <c r="AM34" s="16" t="b">
        <f t="shared" si="2"/>
        <v>1</v>
      </c>
      <c r="AO34" s="3" t="str">
        <f t="shared" si="3"/>
        <v>Knox</v>
      </c>
      <c r="AP34" s="3" t="str">
        <f>'St of Act-Exp'!C34</f>
        <v>Knox</v>
      </c>
      <c r="AQ34" s="16" t="b">
        <f t="shared" si="4"/>
        <v>1</v>
      </c>
    </row>
    <row r="35" spans="1:43">
      <c r="A35" s="3" t="s">
        <v>217</v>
      </c>
      <c r="B35" s="16"/>
      <c r="C35" s="16" t="s">
        <v>175</v>
      </c>
      <c r="E35" s="16">
        <v>51185</v>
      </c>
      <c r="G35" s="3">
        <v>2783702</v>
      </c>
      <c r="H35" s="3"/>
      <c r="I35" s="3">
        <v>49037</v>
      </c>
      <c r="J35" s="3"/>
      <c r="K35" s="8">
        <f t="shared" si="6"/>
        <v>1735079</v>
      </c>
      <c r="L35" s="3"/>
      <c r="M35" s="3">
        <v>4567818</v>
      </c>
      <c r="N35" s="3"/>
      <c r="O35" s="8">
        <f t="shared" si="7"/>
        <v>469484</v>
      </c>
      <c r="P35" s="3"/>
      <c r="Q35" s="3">
        <v>1472178</v>
      </c>
      <c r="R35" s="3"/>
      <c r="S35" s="3">
        <v>1941662</v>
      </c>
      <c r="T35" s="3"/>
      <c r="U35" s="3">
        <v>0</v>
      </c>
      <c r="V35" s="3"/>
      <c r="W35" s="3">
        <v>49037</v>
      </c>
      <c r="X35" s="3"/>
      <c r="Y35" s="3">
        <v>33429</v>
      </c>
      <c r="Z35" s="3"/>
      <c r="AA35" s="3">
        <v>32334</v>
      </c>
      <c r="AB35" s="3"/>
      <c r="AC35" s="3">
        <v>2511356</v>
      </c>
      <c r="AD35" s="3"/>
      <c r="AE35" s="27">
        <f t="shared" si="5"/>
        <v>2626156</v>
      </c>
      <c r="AF35" s="16"/>
      <c r="AG35" s="3">
        <f t="shared" si="0"/>
        <v>0</v>
      </c>
      <c r="AJ35" s="3"/>
      <c r="AK35" s="3" t="str">
        <f t="shared" si="1"/>
        <v>Lawrence County JVSD</v>
      </c>
      <c r="AL35" s="3" t="str">
        <f>'St of Act-Exp'!A35</f>
        <v>Lawrence County JVSD</v>
      </c>
      <c r="AM35" s="16" t="b">
        <f t="shared" si="2"/>
        <v>1</v>
      </c>
      <c r="AO35" s="3" t="str">
        <f t="shared" si="3"/>
        <v>Lawrence</v>
      </c>
      <c r="AP35" s="3" t="str">
        <f>'St of Act-Exp'!C35</f>
        <v>Lawrence</v>
      </c>
      <c r="AQ35" s="16" t="b">
        <f t="shared" si="4"/>
        <v>1</v>
      </c>
    </row>
    <row r="36" spans="1:43" s="72" customFormat="1" hidden="1">
      <c r="A36" s="65" t="s">
        <v>308</v>
      </c>
      <c r="B36" s="66"/>
      <c r="C36" s="66" t="s">
        <v>176</v>
      </c>
      <c r="E36" s="66">
        <v>47977</v>
      </c>
      <c r="G36" s="65"/>
      <c r="H36" s="65"/>
      <c r="I36" s="65"/>
      <c r="J36" s="65"/>
      <c r="K36" s="70">
        <f t="shared" si="6"/>
        <v>0</v>
      </c>
      <c r="L36" s="65"/>
      <c r="M36" s="65"/>
      <c r="N36" s="65"/>
      <c r="O36" s="70">
        <f t="shared" si="7"/>
        <v>0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73">
        <f t="shared" si="5"/>
        <v>0</v>
      </c>
      <c r="AF36" s="66"/>
      <c r="AG36" s="65">
        <f t="shared" si="0"/>
        <v>0</v>
      </c>
      <c r="AJ36" s="65" t="s">
        <v>389</v>
      </c>
      <c r="AK36" s="65" t="str">
        <f t="shared" si="1"/>
        <v>Licking Co Career &amp; Tech Center</v>
      </c>
      <c r="AL36" s="65" t="str">
        <f>'St of Act-Exp'!A36</f>
        <v>Licking Co Career &amp; Tech Center</v>
      </c>
      <c r="AM36" s="66" t="b">
        <f t="shared" si="2"/>
        <v>1</v>
      </c>
      <c r="AO36" s="65" t="str">
        <f t="shared" si="3"/>
        <v>Licking</v>
      </c>
      <c r="AP36" s="65" t="str">
        <f>'St of Act-Exp'!C36</f>
        <v>Licking</v>
      </c>
      <c r="AQ36" s="66" t="b">
        <f t="shared" si="4"/>
        <v>1</v>
      </c>
    </row>
    <row r="37" spans="1:43">
      <c r="A37" s="3" t="s">
        <v>219</v>
      </c>
      <c r="B37" s="16"/>
      <c r="C37" s="16" t="s">
        <v>145</v>
      </c>
      <c r="E37" s="16">
        <v>51227</v>
      </c>
      <c r="G37" s="3">
        <v>8343023</v>
      </c>
      <c r="H37" s="3"/>
      <c r="I37" s="3">
        <v>0</v>
      </c>
      <c r="J37" s="3"/>
      <c r="K37" s="8">
        <f t="shared" si="6"/>
        <v>13052733</v>
      </c>
      <c r="L37" s="3"/>
      <c r="M37" s="3">
        <v>21395756</v>
      </c>
      <c r="N37" s="3"/>
      <c r="O37" s="8">
        <f t="shared" si="7"/>
        <v>2942792</v>
      </c>
      <c r="P37" s="3"/>
      <c r="Q37" s="3">
        <v>11769519</v>
      </c>
      <c r="R37" s="3"/>
      <c r="S37" s="3">
        <v>14712311</v>
      </c>
      <c r="T37" s="3"/>
      <c r="U37" s="3">
        <v>22356</v>
      </c>
      <c r="V37" s="3"/>
      <c r="W37" s="3">
        <v>127840</v>
      </c>
      <c r="X37" s="3"/>
      <c r="Y37" s="3">
        <v>0</v>
      </c>
      <c r="Z37" s="3"/>
      <c r="AA37" s="3">
        <v>1082958</v>
      </c>
      <c r="AB37" s="3"/>
      <c r="AC37" s="3">
        <v>5450291</v>
      </c>
      <c r="AD37" s="3"/>
      <c r="AE37" s="27">
        <f t="shared" si="5"/>
        <v>6683445</v>
      </c>
      <c r="AF37" s="16"/>
      <c r="AG37" s="3">
        <f t="shared" si="0"/>
        <v>0</v>
      </c>
      <c r="AJ37" s="3" t="s">
        <v>383</v>
      </c>
      <c r="AK37" s="3" t="str">
        <f t="shared" si="1"/>
        <v>Lorain County JVSD</v>
      </c>
      <c r="AL37" s="3" t="str">
        <f>'St of Act-Exp'!A37</f>
        <v>Lorain County JVSD</v>
      </c>
      <c r="AM37" s="16" t="b">
        <f t="shared" si="2"/>
        <v>1</v>
      </c>
      <c r="AO37" s="3" t="str">
        <f t="shared" si="3"/>
        <v>Lorain</v>
      </c>
      <c r="AP37" s="3" t="str">
        <f>'St of Act-Exp'!C37</f>
        <v>Lorain</v>
      </c>
      <c r="AQ37" s="16" t="b">
        <f t="shared" si="4"/>
        <v>1</v>
      </c>
    </row>
    <row r="38" spans="1:43">
      <c r="A38" s="3" t="s">
        <v>309</v>
      </c>
      <c r="B38" s="16"/>
      <c r="C38" s="16" t="s">
        <v>179</v>
      </c>
      <c r="E38" s="16">
        <v>51243</v>
      </c>
      <c r="G38" s="3">
        <v>7215622</v>
      </c>
      <c r="H38" s="3"/>
      <c r="I38" s="3">
        <v>0</v>
      </c>
      <c r="J38" s="3"/>
      <c r="K38" s="8">
        <f t="shared" si="6"/>
        <v>21459846</v>
      </c>
      <c r="L38" s="3"/>
      <c r="M38" s="3">
        <v>28675468</v>
      </c>
      <c r="N38" s="3"/>
      <c r="O38" s="8">
        <f t="shared" si="7"/>
        <v>1312652</v>
      </c>
      <c r="P38" s="3"/>
      <c r="Q38" s="3">
        <v>7124563</v>
      </c>
      <c r="R38" s="3"/>
      <c r="S38" s="3">
        <v>8437215</v>
      </c>
      <c r="T38" s="3"/>
      <c r="U38" s="3">
        <v>25248</v>
      </c>
      <c r="V38" s="3"/>
      <c r="W38" s="3">
        <v>0</v>
      </c>
      <c r="X38" s="3"/>
      <c r="Y38" s="3">
        <v>14196232</v>
      </c>
      <c r="Z38" s="3"/>
      <c r="AA38" s="3">
        <v>27793</v>
      </c>
      <c r="AB38" s="3"/>
      <c r="AC38" s="3">
        <v>5988980</v>
      </c>
      <c r="AD38" s="3"/>
      <c r="AE38" s="27">
        <f t="shared" si="5"/>
        <v>20238253</v>
      </c>
      <c r="AF38" s="16"/>
      <c r="AG38" s="3">
        <f t="shared" si="0"/>
        <v>0</v>
      </c>
      <c r="AJ38" s="3"/>
      <c r="AK38" s="3" t="str">
        <f t="shared" si="1"/>
        <v>Mahoning Co Career &amp; Tech Center</v>
      </c>
      <c r="AL38" s="3" t="str">
        <f>'St of Act-Exp'!A38</f>
        <v>Mahoning Co Career &amp; Tech Center</v>
      </c>
      <c r="AM38" s="16" t="b">
        <f t="shared" si="2"/>
        <v>1</v>
      </c>
      <c r="AO38" s="3" t="str">
        <f t="shared" si="3"/>
        <v>Mahoning</v>
      </c>
      <c r="AP38" s="3" t="str">
        <f>'St of Act-Exp'!C38</f>
        <v>Mahoning</v>
      </c>
      <c r="AQ38" s="16" t="b">
        <f t="shared" si="4"/>
        <v>1</v>
      </c>
    </row>
    <row r="39" spans="1:43">
      <c r="A39" s="3" t="s">
        <v>256</v>
      </c>
      <c r="B39" s="16"/>
      <c r="C39" s="16" t="s">
        <v>190</v>
      </c>
      <c r="E39" s="16">
        <v>51391</v>
      </c>
      <c r="G39" s="3">
        <v>18342677</v>
      </c>
      <c r="H39" s="3"/>
      <c r="I39" s="3">
        <v>223362</v>
      </c>
      <c r="J39" s="3"/>
      <c r="K39" s="8">
        <f t="shared" si="6"/>
        <v>7154787</v>
      </c>
      <c r="L39" s="3"/>
      <c r="M39" s="3">
        <v>25720826</v>
      </c>
      <c r="N39" s="3"/>
      <c r="O39" s="8">
        <f t="shared" si="7"/>
        <v>952941</v>
      </c>
      <c r="P39" s="3"/>
      <c r="Q39" s="3">
        <v>6320647</v>
      </c>
      <c r="R39" s="3"/>
      <c r="S39" s="3">
        <v>7273588</v>
      </c>
      <c r="T39" s="3"/>
      <c r="U39" s="3">
        <v>66789</v>
      </c>
      <c r="V39" s="3"/>
      <c r="W39" s="3">
        <v>3468</v>
      </c>
      <c r="X39" s="3"/>
      <c r="Y39" s="3">
        <v>420385</v>
      </c>
      <c r="Z39" s="3"/>
      <c r="AA39" s="3">
        <v>670924</v>
      </c>
      <c r="AB39" s="3"/>
      <c r="AC39" s="3">
        <v>17285672</v>
      </c>
      <c r="AD39" s="3"/>
      <c r="AE39" s="27">
        <f t="shared" si="5"/>
        <v>18447238</v>
      </c>
      <c r="AF39" s="16"/>
      <c r="AG39" s="3">
        <f t="shared" si="0"/>
        <v>0</v>
      </c>
      <c r="AJ39" s="3"/>
      <c r="AK39" s="3" t="str">
        <f t="shared" si="1"/>
        <v>Maplewood Career Center</v>
      </c>
      <c r="AL39" s="3" t="str">
        <f>'St of Act-Exp'!A39</f>
        <v>Maplewood Career Center</v>
      </c>
      <c r="AM39" s="16" t="b">
        <f t="shared" si="2"/>
        <v>1</v>
      </c>
      <c r="AO39" s="3" t="str">
        <f t="shared" si="3"/>
        <v>Portage</v>
      </c>
      <c r="AP39" s="3" t="str">
        <f>'St of Act-Exp'!C39</f>
        <v>Portage</v>
      </c>
      <c r="AQ39" s="16" t="b">
        <f t="shared" si="4"/>
        <v>1</v>
      </c>
    </row>
    <row r="40" spans="1:43">
      <c r="A40" s="3" t="s">
        <v>223</v>
      </c>
      <c r="B40" s="16"/>
      <c r="C40" s="16" t="s">
        <v>181</v>
      </c>
      <c r="E40" s="16">
        <v>62109</v>
      </c>
      <c r="G40" s="3">
        <v>8863043</v>
      </c>
      <c r="H40" s="3"/>
      <c r="I40" s="3">
        <v>0</v>
      </c>
      <c r="J40" s="3"/>
      <c r="K40" s="8">
        <f t="shared" si="6"/>
        <v>7969708</v>
      </c>
      <c r="L40" s="3"/>
      <c r="M40" s="3">
        <v>16832751</v>
      </c>
      <c r="N40" s="3"/>
      <c r="O40" s="8">
        <f t="shared" si="7"/>
        <v>1450454</v>
      </c>
      <c r="P40" s="3"/>
      <c r="Q40" s="3">
        <v>7153473</v>
      </c>
      <c r="R40" s="3"/>
      <c r="S40" s="3">
        <v>8603927</v>
      </c>
      <c r="T40" s="3"/>
      <c r="U40" s="3">
        <v>147276</v>
      </c>
      <c r="V40" s="3"/>
      <c r="W40" s="3">
        <v>0</v>
      </c>
      <c r="X40" s="3"/>
      <c r="Y40" s="3">
        <v>636</v>
      </c>
      <c r="Z40" s="3"/>
      <c r="AA40" s="3">
        <v>2519296</v>
      </c>
      <c r="AB40" s="3"/>
      <c r="AC40" s="3">
        <v>5561616</v>
      </c>
      <c r="AD40" s="3"/>
      <c r="AE40" s="27">
        <f t="shared" si="5"/>
        <v>8228824</v>
      </c>
      <c r="AF40" s="16"/>
      <c r="AG40" s="3">
        <f t="shared" si="0"/>
        <v>0</v>
      </c>
      <c r="AJ40" s="3"/>
      <c r="AK40" s="3" t="str">
        <f t="shared" si="1"/>
        <v>Medina County JVSD</v>
      </c>
      <c r="AL40" s="3" t="str">
        <f>'St of Act-Exp'!A40</f>
        <v>Medina County JVSD</v>
      </c>
      <c r="AM40" s="16" t="b">
        <f t="shared" si="2"/>
        <v>1</v>
      </c>
      <c r="AO40" s="3" t="str">
        <f t="shared" si="3"/>
        <v>Medina</v>
      </c>
      <c r="AP40" s="3" t="str">
        <f>'St of Act-Exp'!C40</f>
        <v>Medina</v>
      </c>
      <c r="AQ40" s="16" t="b">
        <f t="shared" si="4"/>
        <v>1</v>
      </c>
    </row>
    <row r="41" spans="1:43">
      <c r="A41" s="3" t="s">
        <v>310</v>
      </c>
      <c r="B41" s="16"/>
      <c r="C41" s="16" t="s">
        <v>184</v>
      </c>
      <c r="E41" s="16">
        <v>51284</v>
      </c>
      <c r="G41" s="3">
        <v>4115139</v>
      </c>
      <c r="H41" s="3"/>
      <c r="I41" s="3">
        <v>0</v>
      </c>
      <c r="J41" s="3"/>
      <c r="K41" s="8">
        <f t="shared" si="6"/>
        <v>11814873</v>
      </c>
      <c r="L41" s="3"/>
      <c r="M41" s="3">
        <v>15930012</v>
      </c>
      <c r="N41" s="3"/>
      <c r="O41" s="8">
        <f t="shared" si="7"/>
        <v>3237145</v>
      </c>
      <c r="P41" s="3"/>
      <c r="Q41" s="3">
        <v>10606731</v>
      </c>
      <c r="R41" s="3"/>
      <c r="S41" s="3">
        <v>13843876</v>
      </c>
      <c r="T41" s="3"/>
      <c r="U41" s="3">
        <v>0</v>
      </c>
      <c r="V41" s="3"/>
      <c r="W41" s="3">
        <v>0</v>
      </c>
      <c r="X41" s="3"/>
      <c r="Y41" s="3">
        <v>0</v>
      </c>
      <c r="Z41" s="3"/>
      <c r="AA41" s="3">
        <v>291993</v>
      </c>
      <c r="AB41" s="3"/>
      <c r="AC41" s="3">
        <v>1794143</v>
      </c>
      <c r="AD41" s="3"/>
      <c r="AE41" s="27">
        <f t="shared" si="5"/>
        <v>2086136</v>
      </c>
      <c r="AF41" s="16"/>
      <c r="AG41" s="3">
        <f t="shared" si="0"/>
        <v>0</v>
      </c>
      <c r="AJ41" s="3" t="s">
        <v>396</v>
      </c>
      <c r="AK41" s="3" t="str">
        <f t="shared" si="1"/>
        <v>Miami Valley Career Tech Center</v>
      </c>
      <c r="AL41" s="3" t="str">
        <f>'St of Act-Exp'!A41</f>
        <v>Miami Valley Career Tech Center</v>
      </c>
      <c r="AM41" s="16" t="b">
        <f t="shared" si="2"/>
        <v>1</v>
      </c>
      <c r="AO41" s="3" t="str">
        <f t="shared" si="3"/>
        <v>Montgomery</v>
      </c>
      <c r="AP41" s="3" t="str">
        <f>'St of Act-Exp'!C41</f>
        <v>Montgomery</v>
      </c>
      <c r="AQ41" s="16" t="b">
        <f t="shared" si="4"/>
        <v>1</v>
      </c>
    </row>
    <row r="42" spans="1:43">
      <c r="A42" s="3" t="s">
        <v>397</v>
      </c>
      <c r="B42" s="16"/>
      <c r="C42" s="16" t="s">
        <v>186</v>
      </c>
      <c r="E42" s="16">
        <v>51300</v>
      </c>
      <c r="G42" s="3">
        <v>12565482</v>
      </c>
      <c r="H42" s="3"/>
      <c r="I42" s="3">
        <v>46968</v>
      </c>
      <c r="J42" s="3"/>
      <c r="K42" s="8">
        <f t="shared" si="6"/>
        <v>8016963</v>
      </c>
      <c r="L42" s="3"/>
      <c r="M42" s="3">
        <v>20629413</v>
      </c>
      <c r="N42" s="3"/>
      <c r="O42" s="8">
        <f t="shared" si="7"/>
        <v>1524548</v>
      </c>
      <c r="P42" s="3"/>
      <c r="Q42" s="3">
        <v>7141561</v>
      </c>
      <c r="R42" s="3"/>
      <c r="S42" s="3">
        <v>8666109</v>
      </c>
      <c r="T42" s="3"/>
      <c r="U42" s="3">
        <f>67439+101473+1402</f>
        <v>170314</v>
      </c>
      <c r="V42" s="3"/>
      <c r="W42" s="3">
        <f>45566+128102+317667</f>
        <v>491335</v>
      </c>
      <c r="X42" s="3"/>
      <c r="Y42" s="3">
        <v>0</v>
      </c>
      <c r="Z42" s="3"/>
      <c r="AA42" s="3">
        <f>106520+11583</f>
        <v>118103</v>
      </c>
      <c r="AB42" s="3"/>
      <c r="AC42" s="3">
        <v>11183552</v>
      </c>
      <c r="AD42" s="3"/>
      <c r="AE42" s="27">
        <f t="shared" si="5"/>
        <v>11963304</v>
      </c>
      <c r="AF42" s="16"/>
      <c r="AG42" s="3">
        <f t="shared" si="0"/>
        <v>0</v>
      </c>
      <c r="AJ42" s="3"/>
      <c r="AK42" s="3" t="str">
        <f t="shared" si="1"/>
        <v>Mid-East Career &amp; Tech Centers</v>
      </c>
      <c r="AL42" s="3" t="str">
        <f>'St of Act-Exp'!A42</f>
        <v>Mid-East Career &amp; Tech Centers</v>
      </c>
      <c r="AM42" s="16" t="b">
        <f t="shared" si="2"/>
        <v>1</v>
      </c>
      <c r="AO42" s="3" t="str">
        <f t="shared" si="3"/>
        <v>Muskingum</v>
      </c>
      <c r="AP42" s="3" t="str">
        <f>'St of Act-Exp'!C42</f>
        <v>Muskingum</v>
      </c>
      <c r="AQ42" s="16" t="b">
        <f t="shared" si="4"/>
        <v>1</v>
      </c>
    </row>
    <row r="43" spans="1:43">
      <c r="A43" s="3" t="s">
        <v>218</v>
      </c>
      <c r="B43" s="16"/>
      <c r="C43" s="16" t="s">
        <v>177</v>
      </c>
      <c r="E43" s="16">
        <v>51334</v>
      </c>
      <c r="G43" s="3">
        <v>8208355</v>
      </c>
      <c r="H43" s="3"/>
      <c r="I43" s="3">
        <v>14086</v>
      </c>
      <c r="J43" s="3"/>
      <c r="K43" s="8">
        <f t="shared" si="6"/>
        <v>5902634</v>
      </c>
      <c r="L43" s="3"/>
      <c r="M43" s="3">
        <v>14125075</v>
      </c>
      <c r="N43" s="3"/>
      <c r="O43" s="8">
        <f t="shared" si="7"/>
        <v>937189</v>
      </c>
      <c r="P43" s="3"/>
      <c r="Q43" s="3">
        <v>4740016</v>
      </c>
      <c r="R43" s="3"/>
      <c r="S43" s="3">
        <v>5677205</v>
      </c>
      <c r="T43" s="3"/>
      <c r="U43" s="3">
        <v>0</v>
      </c>
      <c r="V43" s="3"/>
      <c r="W43" s="3">
        <v>14086</v>
      </c>
      <c r="X43" s="3"/>
      <c r="Y43" s="3">
        <v>0</v>
      </c>
      <c r="Z43" s="3"/>
      <c r="AA43" s="3">
        <v>976527</v>
      </c>
      <c r="AB43" s="3"/>
      <c r="AC43" s="3">
        <v>7457257</v>
      </c>
      <c r="AD43" s="3"/>
      <c r="AE43" s="27">
        <f t="shared" si="5"/>
        <v>8447870</v>
      </c>
      <c r="AF43" s="16"/>
      <c r="AG43" s="3">
        <f t="shared" si="0"/>
        <v>0</v>
      </c>
      <c r="AJ43" s="32" t="s">
        <v>401</v>
      </c>
      <c r="AK43" s="3" t="str">
        <f t="shared" si="1"/>
        <v>Ohio Hi-Point JVSD</v>
      </c>
      <c r="AL43" s="3" t="str">
        <f>'St of Act-Exp'!A43</f>
        <v>Ohio Hi-Point JVSD</v>
      </c>
      <c r="AM43" s="16" t="b">
        <f t="shared" si="2"/>
        <v>1</v>
      </c>
      <c r="AO43" s="3" t="str">
        <f t="shared" si="3"/>
        <v>Logan</v>
      </c>
      <c r="AP43" s="3" t="str">
        <f>'St of Act-Exp'!C43</f>
        <v>Logan</v>
      </c>
      <c r="AQ43" s="16" t="b">
        <f t="shared" si="4"/>
        <v>1</v>
      </c>
    </row>
    <row r="44" spans="1:43">
      <c r="A44" s="3" t="s">
        <v>402</v>
      </c>
      <c r="B44" s="16"/>
      <c r="C44" s="16" t="s">
        <v>209</v>
      </c>
      <c r="E44" s="16">
        <v>51359</v>
      </c>
      <c r="G44" s="3">
        <v>8383006</v>
      </c>
      <c r="H44" s="3"/>
      <c r="I44" s="3">
        <v>0</v>
      </c>
      <c r="J44" s="3"/>
      <c r="K44" s="8">
        <f t="shared" si="6"/>
        <v>11828577</v>
      </c>
      <c r="L44" s="3"/>
      <c r="M44" s="3">
        <v>20211583</v>
      </c>
      <c r="N44" s="3"/>
      <c r="O44" s="8">
        <f t="shared" si="7"/>
        <v>3403295</v>
      </c>
      <c r="P44" s="3"/>
      <c r="Q44" s="3">
        <f>424580+9495621</f>
        <v>9920201</v>
      </c>
      <c r="R44" s="3"/>
      <c r="S44" s="3">
        <v>13323496</v>
      </c>
      <c r="T44" s="3"/>
      <c r="U44" s="3">
        <v>52541</v>
      </c>
      <c r="V44" s="3"/>
      <c r="W44" s="3">
        <v>0</v>
      </c>
      <c r="X44" s="3"/>
      <c r="Y44" s="3">
        <v>2145388</v>
      </c>
      <c r="Z44" s="3"/>
      <c r="AA44" s="3">
        <f>111305+103779+3165+262403</f>
        <v>480652</v>
      </c>
      <c r="AB44" s="3"/>
      <c r="AC44" s="3">
        <v>4209506</v>
      </c>
      <c r="AD44" s="3"/>
      <c r="AE44" s="27">
        <f t="shared" si="5"/>
        <v>6888087</v>
      </c>
      <c r="AF44" s="16"/>
      <c r="AG44" s="3">
        <f t="shared" si="0"/>
        <v>0</v>
      </c>
      <c r="AJ44" s="32" t="s">
        <v>403</v>
      </c>
      <c r="AK44" s="3" t="str">
        <f t="shared" si="1"/>
        <v>Penta Career Center</v>
      </c>
      <c r="AL44" s="3" t="str">
        <f>'St of Act-Exp'!A44</f>
        <v>Penta Career Center</v>
      </c>
      <c r="AM44" s="16" t="b">
        <f t="shared" si="2"/>
        <v>1</v>
      </c>
      <c r="AO44" s="3" t="str">
        <f t="shared" si="3"/>
        <v>Wood</v>
      </c>
      <c r="AP44" s="3" t="str">
        <f>'St of Act-Exp'!C44</f>
        <v>Wood</v>
      </c>
      <c r="AQ44" s="16" t="b">
        <f t="shared" si="4"/>
        <v>1</v>
      </c>
    </row>
    <row r="45" spans="1:43">
      <c r="A45" s="3" t="s">
        <v>407</v>
      </c>
      <c r="B45" s="16"/>
      <c r="C45" s="16" t="s">
        <v>194</v>
      </c>
      <c r="E45" s="16">
        <v>51433</v>
      </c>
      <c r="G45" s="3">
        <v>8228429</v>
      </c>
      <c r="H45" s="3"/>
      <c r="I45" s="3">
        <v>0</v>
      </c>
      <c r="J45" s="3"/>
      <c r="K45" s="8">
        <f t="shared" si="6"/>
        <v>4836947</v>
      </c>
      <c r="L45" s="3"/>
      <c r="M45" s="3">
        <v>13065376</v>
      </c>
      <c r="N45" s="3"/>
      <c r="O45" s="8">
        <f t="shared" si="7"/>
        <v>1894576</v>
      </c>
      <c r="P45" s="3"/>
      <c r="Q45" s="3">
        <v>3640100</v>
      </c>
      <c r="R45" s="3"/>
      <c r="S45" s="3">
        <v>5534676</v>
      </c>
      <c r="T45" s="3"/>
      <c r="U45" s="3">
        <v>0</v>
      </c>
      <c r="V45" s="3"/>
      <c r="W45" s="3">
        <v>0</v>
      </c>
      <c r="X45" s="3"/>
      <c r="Y45" s="3">
        <v>265273</v>
      </c>
      <c r="Z45" s="3"/>
      <c r="AA45" s="3">
        <v>227678</v>
      </c>
      <c r="AB45" s="3"/>
      <c r="AC45" s="3">
        <v>7037749</v>
      </c>
      <c r="AD45" s="3"/>
      <c r="AE45" s="27">
        <f t="shared" si="5"/>
        <v>7530700</v>
      </c>
      <c r="AF45" s="16"/>
      <c r="AG45" s="3">
        <f t="shared" si="0"/>
        <v>0</v>
      </c>
      <c r="AJ45" s="3"/>
      <c r="AK45" s="3" t="str">
        <f t="shared" si="1"/>
        <v>Pickaway-Ross Career &amp; Tech Center</v>
      </c>
      <c r="AL45" s="3" t="str">
        <f>'St of Act-Exp'!A45</f>
        <v>Pickaway-Ross Career &amp; Tech Center</v>
      </c>
      <c r="AM45" s="16" t="b">
        <f t="shared" si="2"/>
        <v>1</v>
      </c>
      <c r="AO45" s="3" t="str">
        <f t="shared" si="3"/>
        <v>Ross</v>
      </c>
      <c r="AP45" s="3" t="str">
        <f>'St of Act-Exp'!C45</f>
        <v>Ross</v>
      </c>
      <c r="AQ45" s="16" t="b">
        <f t="shared" si="4"/>
        <v>1</v>
      </c>
    </row>
    <row r="46" spans="1:43">
      <c r="A46" s="3" t="s">
        <v>257</v>
      </c>
      <c r="B46" s="16"/>
      <c r="C46" s="16" t="s">
        <v>225</v>
      </c>
      <c r="E46" s="16">
        <v>51375</v>
      </c>
      <c r="G46" s="3">
        <v>3269230</v>
      </c>
      <c r="H46" s="3"/>
      <c r="I46" s="3">
        <v>23547</v>
      </c>
      <c r="J46" s="3"/>
      <c r="K46" s="8">
        <f t="shared" si="6"/>
        <v>1345131</v>
      </c>
      <c r="L46" s="3"/>
      <c r="M46" s="3">
        <v>4637908</v>
      </c>
      <c r="N46" s="3"/>
      <c r="O46" s="8">
        <f t="shared" si="7"/>
        <v>503237</v>
      </c>
      <c r="P46" s="3"/>
      <c r="Q46" s="3">
        <v>955265</v>
      </c>
      <c r="R46" s="3"/>
      <c r="S46" s="3">
        <v>1458502</v>
      </c>
      <c r="T46" s="3"/>
      <c r="U46" s="3">
        <v>4036</v>
      </c>
      <c r="V46" s="3"/>
      <c r="W46" s="3">
        <v>0</v>
      </c>
      <c r="X46" s="3"/>
      <c r="Y46" s="3">
        <v>0</v>
      </c>
      <c r="Z46" s="3"/>
      <c r="AA46" s="3">
        <v>50870</v>
      </c>
      <c r="AB46" s="3"/>
      <c r="AC46" s="3">
        <v>3124500</v>
      </c>
      <c r="AD46" s="3"/>
      <c r="AE46" s="27">
        <f t="shared" si="5"/>
        <v>3179406</v>
      </c>
      <c r="AF46" s="16"/>
      <c r="AG46" s="3">
        <f t="shared" si="0"/>
        <v>0</v>
      </c>
      <c r="AJ46" s="3"/>
      <c r="AK46" s="3" t="str">
        <f t="shared" si="1"/>
        <v>Pike County JVSD</v>
      </c>
      <c r="AL46" s="3" t="str">
        <f>'St of Act-Exp'!A46</f>
        <v>Pike County JVSD</v>
      </c>
      <c r="AM46" s="16" t="b">
        <f t="shared" si="2"/>
        <v>1</v>
      </c>
      <c r="AO46" s="3" t="str">
        <f t="shared" si="3"/>
        <v>Pike</v>
      </c>
      <c r="AP46" s="3" t="str">
        <f>'St of Act-Exp'!C46</f>
        <v>Pike</v>
      </c>
      <c r="AQ46" s="16" t="b">
        <f t="shared" si="4"/>
        <v>1</v>
      </c>
    </row>
    <row r="47" spans="1:43">
      <c r="A47" s="3" t="s">
        <v>311</v>
      </c>
      <c r="B47" s="16"/>
      <c r="C47" s="16" t="s">
        <v>193</v>
      </c>
      <c r="E47" s="16">
        <v>51417</v>
      </c>
      <c r="G47" s="3">
        <v>10160963</v>
      </c>
      <c r="H47" s="3"/>
      <c r="I47" s="3">
        <v>0</v>
      </c>
      <c r="J47" s="3"/>
      <c r="K47" s="8">
        <f t="shared" si="6"/>
        <v>4436805</v>
      </c>
      <c r="L47" s="3"/>
      <c r="M47" s="3">
        <v>14597768</v>
      </c>
      <c r="N47" s="3"/>
      <c r="O47" s="8">
        <f t="shared" si="7"/>
        <v>1587519</v>
      </c>
      <c r="P47" s="3"/>
      <c r="Q47" s="3">
        <f>386504+2766995</f>
        <v>3153499</v>
      </c>
      <c r="R47" s="3"/>
      <c r="S47" s="3">
        <v>4741018</v>
      </c>
      <c r="T47" s="3"/>
      <c r="U47" s="3">
        <f>40411+84213</f>
        <v>124624</v>
      </c>
      <c r="V47" s="3"/>
      <c r="W47" s="3">
        <v>0</v>
      </c>
      <c r="X47" s="3"/>
      <c r="Y47" s="3">
        <v>0</v>
      </c>
      <c r="Z47" s="3"/>
      <c r="AA47" s="3">
        <f>111864+270877+461+59177+84435</f>
        <v>526814</v>
      </c>
      <c r="AB47" s="3"/>
      <c r="AC47" s="3">
        <v>9205312</v>
      </c>
      <c r="AD47" s="3"/>
      <c r="AE47" s="27">
        <f t="shared" si="5"/>
        <v>9856750</v>
      </c>
      <c r="AF47" s="16"/>
      <c r="AG47" s="3">
        <f t="shared" si="0"/>
        <v>0</v>
      </c>
      <c r="AJ47" s="32"/>
      <c r="AK47" s="3" t="str">
        <f t="shared" si="1"/>
        <v>Pioneer Career &amp; Tech Center</v>
      </c>
      <c r="AL47" s="3" t="str">
        <f>'St of Act-Exp'!A47</f>
        <v>Pioneer Career &amp; Tech Center</v>
      </c>
      <c r="AM47" s="16" t="b">
        <f t="shared" si="2"/>
        <v>1</v>
      </c>
      <c r="AO47" s="3" t="str">
        <f t="shared" si="3"/>
        <v>Richland</v>
      </c>
      <c r="AP47" s="3" t="str">
        <f>'St of Act-Exp'!C47</f>
        <v>Richland</v>
      </c>
      <c r="AQ47" s="16" t="b">
        <f t="shared" si="4"/>
        <v>1</v>
      </c>
    </row>
    <row r="48" spans="1:43">
      <c r="A48" s="3" t="s">
        <v>258</v>
      </c>
      <c r="B48" s="16"/>
      <c r="C48" s="16" t="s">
        <v>160</v>
      </c>
      <c r="E48" s="16">
        <v>50948</v>
      </c>
      <c r="G48" s="3">
        <v>6097930</v>
      </c>
      <c r="H48" s="3"/>
      <c r="I48" s="3">
        <v>241244</v>
      </c>
      <c r="J48" s="3"/>
      <c r="K48" s="8">
        <f t="shared" si="6"/>
        <v>9442601</v>
      </c>
      <c r="L48" s="3"/>
      <c r="M48" s="3">
        <v>15781775</v>
      </c>
      <c r="N48" s="3"/>
      <c r="O48" s="8">
        <f t="shared" si="7"/>
        <v>1667437</v>
      </c>
      <c r="P48" s="3"/>
      <c r="Q48" s="3">
        <v>7917778</v>
      </c>
      <c r="R48" s="3"/>
      <c r="S48" s="3">
        <v>9585215</v>
      </c>
      <c r="T48" s="3"/>
      <c r="U48" s="3">
        <v>29095</v>
      </c>
      <c r="V48" s="3"/>
      <c r="W48" s="3">
        <v>0</v>
      </c>
      <c r="X48" s="3"/>
      <c r="Y48" s="3">
        <v>0</v>
      </c>
      <c r="Z48" s="3"/>
      <c r="AA48" s="3">
        <v>0</v>
      </c>
      <c r="AB48" s="3"/>
      <c r="AC48" s="3">
        <v>6167465</v>
      </c>
      <c r="AD48" s="3"/>
      <c r="AE48" s="27">
        <f t="shared" si="5"/>
        <v>6196560</v>
      </c>
      <c r="AF48" s="16"/>
      <c r="AG48" s="3">
        <f t="shared" si="0"/>
        <v>0</v>
      </c>
      <c r="AJ48" s="3"/>
      <c r="AK48" s="3" t="str">
        <f t="shared" si="1"/>
        <v>Polaris Career Center</v>
      </c>
      <c r="AL48" s="3" t="str">
        <f>'St of Act-Exp'!A48</f>
        <v>Polaris Career Center</v>
      </c>
      <c r="AM48" s="16" t="b">
        <f t="shared" si="2"/>
        <v>1</v>
      </c>
      <c r="AO48" s="3" t="str">
        <f t="shared" si="3"/>
        <v>Cuyahoga</v>
      </c>
      <c r="AP48" s="3" t="str">
        <f>'St of Act-Exp'!C48</f>
        <v>Cuyahoga</v>
      </c>
      <c r="AQ48" s="16" t="b">
        <f t="shared" si="4"/>
        <v>1</v>
      </c>
    </row>
    <row r="49" spans="1:43">
      <c r="A49" s="3" t="s">
        <v>259</v>
      </c>
      <c r="B49" s="16"/>
      <c r="C49" s="16" t="s">
        <v>200</v>
      </c>
      <c r="E49" s="16">
        <v>63495</v>
      </c>
      <c r="G49" s="3">
        <v>11637408</v>
      </c>
      <c r="H49" s="3"/>
      <c r="I49" s="3">
        <v>38707</v>
      </c>
      <c r="J49" s="3"/>
      <c r="K49" s="8">
        <f t="shared" si="6"/>
        <v>3068593</v>
      </c>
      <c r="L49" s="3"/>
      <c r="M49" s="3">
        <v>14744708</v>
      </c>
      <c r="N49" s="3"/>
      <c r="O49" s="8">
        <f t="shared" si="7"/>
        <v>795189</v>
      </c>
      <c r="P49" s="3"/>
      <c r="Q49" s="3">
        <v>2665866</v>
      </c>
      <c r="R49" s="3"/>
      <c r="S49" s="3">
        <v>3461055</v>
      </c>
      <c r="T49" s="3"/>
      <c r="U49" s="3">
        <v>0</v>
      </c>
      <c r="V49" s="3"/>
      <c r="W49" s="3">
        <v>38707</v>
      </c>
      <c r="X49" s="3"/>
      <c r="Y49" s="3">
        <v>11000</v>
      </c>
      <c r="Z49" s="3"/>
      <c r="AA49" s="3">
        <v>371781</v>
      </c>
      <c r="AB49" s="3"/>
      <c r="AC49" s="3">
        <v>10862165</v>
      </c>
      <c r="AD49" s="3"/>
      <c r="AE49" s="27">
        <f t="shared" si="5"/>
        <v>11283653</v>
      </c>
      <c r="AF49" s="16"/>
      <c r="AG49" s="3">
        <f t="shared" si="0"/>
        <v>0</v>
      </c>
      <c r="AJ49" s="3"/>
      <c r="AK49" s="3" t="str">
        <f t="shared" si="1"/>
        <v>Portage Lakes Career Center</v>
      </c>
      <c r="AL49" s="3" t="str">
        <f>'St of Act-Exp'!A49</f>
        <v>Portage Lakes Career Center</v>
      </c>
      <c r="AM49" s="16" t="b">
        <f t="shared" si="2"/>
        <v>1</v>
      </c>
      <c r="AO49" s="3" t="str">
        <f t="shared" si="3"/>
        <v>Summit</v>
      </c>
      <c r="AP49" s="3" t="str">
        <f>'St of Act-Exp'!C49</f>
        <v>Summit</v>
      </c>
      <c r="AQ49" s="16" t="b">
        <f t="shared" si="4"/>
        <v>1</v>
      </c>
    </row>
    <row r="50" spans="1:43">
      <c r="A50" s="3" t="s">
        <v>260</v>
      </c>
      <c r="B50" s="16"/>
      <c r="C50" s="16" t="s">
        <v>196</v>
      </c>
      <c r="E50" s="16">
        <v>51490</v>
      </c>
      <c r="G50" s="3">
        <v>2856597</v>
      </c>
      <c r="H50" s="3"/>
      <c r="I50" s="3">
        <v>0</v>
      </c>
      <c r="J50" s="3"/>
      <c r="K50" s="8">
        <f t="shared" si="6"/>
        <v>2410136</v>
      </c>
      <c r="L50" s="3"/>
      <c r="M50" s="3">
        <v>5266733</v>
      </c>
      <c r="N50" s="3"/>
      <c r="O50" s="8">
        <f t="shared" si="7"/>
        <v>674401</v>
      </c>
      <c r="P50" s="3"/>
      <c r="Q50" s="3">
        <v>2155383</v>
      </c>
      <c r="R50" s="3"/>
      <c r="S50" s="3">
        <v>2829784</v>
      </c>
      <c r="T50" s="3"/>
      <c r="U50" s="3">
        <v>0</v>
      </c>
      <c r="V50" s="3"/>
      <c r="W50" s="3">
        <v>0</v>
      </c>
      <c r="X50" s="3"/>
      <c r="Y50" s="3">
        <v>0</v>
      </c>
      <c r="Z50" s="3"/>
      <c r="AA50" s="3">
        <v>436111</v>
      </c>
      <c r="AB50" s="3"/>
      <c r="AC50" s="3">
        <v>2000838</v>
      </c>
      <c r="AD50" s="3"/>
      <c r="AE50" s="27">
        <f t="shared" si="5"/>
        <v>2436949</v>
      </c>
      <c r="AF50" s="16"/>
      <c r="AG50" s="3">
        <f t="shared" si="0"/>
        <v>0</v>
      </c>
      <c r="AJ50" s="3"/>
      <c r="AK50" s="3" t="str">
        <f t="shared" si="1"/>
        <v>Scioto County JVSD</v>
      </c>
      <c r="AL50" s="3" t="str">
        <f>'St of Act-Exp'!A50</f>
        <v>Scioto County JVSD</v>
      </c>
      <c r="AM50" s="16" t="b">
        <f t="shared" si="2"/>
        <v>1</v>
      </c>
      <c r="AO50" s="3" t="str">
        <f t="shared" si="3"/>
        <v>Scioto</v>
      </c>
      <c r="AP50" s="3" t="str">
        <f>'St of Act-Exp'!C50</f>
        <v>Scioto</v>
      </c>
      <c r="AQ50" s="16" t="b">
        <f t="shared" si="4"/>
        <v>1</v>
      </c>
    </row>
    <row r="51" spans="1:43">
      <c r="A51" s="3" t="s">
        <v>211</v>
      </c>
      <c r="B51" s="16"/>
      <c r="C51" s="16" t="s">
        <v>153</v>
      </c>
      <c r="E51" s="16">
        <v>50799</v>
      </c>
      <c r="G51" s="3">
        <v>2987203</v>
      </c>
      <c r="H51" s="3"/>
      <c r="I51" s="3">
        <v>20297</v>
      </c>
      <c r="J51" s="3"/>
      <c r="K51" s="8">
        <f t="shared" si="6"/>
        <v>1979049</v>
      </c>
      <c r="L51" s="3"/>
      <c r="M51" s="3">
        <v>4986549</v>
      </c>
      <c r="N51" s="3"/>
      <c r="O51" s="8">
        <f t="shared" si="7"/>
        <v>504961</v>
      </c>
      <c r="P51" s="3"/>
      <c r="Q51" s="3">
        <v>1319301</v>
      </c>
      <c r="R51" s="3"/>
      <c r="S51" s="3">
        <v>1824262</v>
      </c>
      <c r="T51" s="3"/>
      <c r="U51" s="3">
        <v>264130</v>
      </c>
      <c r="V51" s="3"/>
      <c r="W51" s="3">
        <v>0</v>
      </c>
      <c r="X51" s="3"/>
      <c r="Y51" s="3">
        <v>173474</v>
      </c>
      <c r="Z51" s="3"/>
      <c r="AA51" s="3">
        <v>66402</v>
      </c>
      <c r="AB51" s="3"/>
      <c r="AC51" s="3">
        <v>2658281</v>
      </c>
      <c r="AD51" s="3"/>
      <c r="AE51" s="27">
        <f t="shared" si="5"/>
        <v>3162287</v>
      </c>
      <c r="AF51" s="16"/>
      <c r="AG51" s="3">
        <f t="shared" si="0"/>
        <v>0</v>
      </c>
      <c r="AJ51" s="3"/>
      <c r="AK51" s="3" t="str">
        <f t="shared" si="1"/>
        <v>Southern Hills JVSD</v>
      </c>
      <c r="AL51" s="3" t="str">
        <f>'St of Act-Exp'!A51</f>
        <v>Southern Hills JVSD</v>
      </c>
      <c r="AM51" s="16" t="b">
        <f t="shared" si="2"/>
        <v>1</v>
      </c>
      <c r="AO51" s="3" t="str">
        <f t="shared" si="3"/>
        <v>Brown</v>
      </c>
      <c r="AP51" s="3" t="str">
        <f>'St of Act-Exp'!C51</f>
        <v>Brown</v>
      </c>
      <c r="AQ51" s="16" t="b">
        <f t="shared" si="4"/>
        <v>1</v>
      </c>
    </row>
    <row r="52" spans="1:43">
      <c r="A52" s="3" t="s">
        <v>286</v>
      </c>
      <c r="B52" s="16"/>
      <c r="C52" s="16" t="s">
        <v>155</v>
      </c>
      <c r="E52" s="16">
        <v>51532</v>
      </c>
      <c r="G52" s="3">
        <v>7789571</v>
      </c>
      <c r="H52" s="3"/>
      <c r="I52" s="3">
        <v>0</v>
      </c>
      <c r="J52" s="3"/>
      <c r="K52" s="8">
        <f t="shared" si="6"/>
        <v>5477627</v>
      </c>
      <c r="L52" s="3"/>
      <c r="M52" s="3">
        <v>13267198</v>
      </c>
      <c r="N52" s="3"/>
      <c r="O52" s="8">
        <f t="shared" si="7"/>
        <v>904554</v>
      </c>
      <c r="P52" s="3"/>
      <c r="Q52" s="3">
        <v>4041033</v>
      </c>
      <c r="R52" s="3"/>
      <c r="S52" s="3">
        <v>4945587</v>
      </c>
      <c r="T52" s="3"/>
      <c r="U52" s="3">
        <v>53665</v>
      </c>
      <c r="V52" s="3"/>
      <c r="W52" s="3">
        <v>0</v>
      </c>
      <c r="X52" s="3"/>
      <c r="Y52" s="3">
        <v>0</v>
      </c>
      <c r="Z52" s="3"/>
      <c r="AA52" s="3">
        <v>185537</v>
      </c>
      <c r="AB52" s="3"/>
      <c r="AC52" s="3">
        <v>8082409</v>
      </c>
      <c r="AD52" s="3"/>
      <c r="AE52" s="27">
        <f t="shared" si="5"/>
        <v>8321611</v>
      </c>
      <c r="AF52" s="16"/>
      <c r="AG52" s="3">
        <f t="shared" si="0"/>
        <v>0</v>
      </c>
      <c r="AJ52" s="32"/>
      <c r="AK52" s="3" t="str">
        <f t="shared" si="1"/>
        <v>Springfield-Clark Co Career Tech Center</v>
      </c>
      <c r="AL52" s="3" t="str">
        <f>'St of Act-Exp'!A52</f>
        <v>Springfield-Clark Co Career Tech Center</v>
      </c>
      <c r="AM52" s="16" t="b">
        <f t="shared" si="2"/>
        <v>1</v>
      </c>
      <c r="AO52" s="3" t="str">
        <f t="shared" si="3"/>
        <v>Clark</v>
      </c>
      <c r="AP52" s="3" t="str">
        <f>'St of Act-Exp'!C52</f>
        <v>Clark</v>
      </c>
      <c r="AQ52" s="16" t="b">
        <f t="shared" si="4"/>
        <v>1</v>
      </c>
    </row>
    <row r="53" spans="1:43">
      <c r="A53" s="3" t="s">
        <v>226</v>
      </c>
      <c r="B53" s="16"/>
      <c r="C53" s="16" t="s">
        <v>199</v>
      </c>
      <c r="E53" s="16">
        <v>62026</v>
      </c>
      <c r="G53" s="3">
        <v>10403752</v>
      </c>
      <c r="H53" s="3"/>
      <c r="I53" s="3">
        <v>0</v>
      </c>
      <c r="J53" s="3"/>
      <c r="K53" s="8">
        <f t="shared" si="6"/>
        <v>2419380</v>
      </c>
      <c r="L53" s="3"/>
      <c r="M53" s="3">
        <v>12823132</v>
      </c>
      <c r="N53" s="3"/>
      <c r="O53" s="8">
        <f t="shared" si="7"/>
        <v>908873</v>
      </c>
      <c r="P53" s="3"/>
      <c r="Q53" s="3">
        <f>107053+1895605</f>
        <v>2002658</v>
      </c>
      <c r="R53" s="3"/>
      <c r="S53" s="3">
        <v>2911531</v>
      </c>
      <c r="T53" s="3"/>
      <c r="U53" s="3">
        <f>5425+30000</f>
        <v>35425</v>
      </c>
      <c r="V53" s="3"/>
      <c r="W53" s="3">
        <v>0</v>
      </c>
      <c r="X53" s="3"/>
      <c r="Y53" s="3">
        <v>0</v>
      </c>
      <c r="Z53" s="3"/>
      <c r="AA53" s="3">
        <f>82625+17079+21+60217</f>
        <v>159942</v>
      </c>
      <c r="AB53" s="3"/>
      <c r="AC53" s="3">
        <v>9716234</v>
      </c>
      <c r="AD53" s="3"/>
      <c r="AE53" s="27">
        <f t="shared" si="5"/>
        <v>9911601</v>
      </c>
      <c r="AF53" s="16"/>
      <c r="AG53" s="3">
        <f t="shared" si="0"/>
        <v>0</v>
      </c>
      <c r="AJ53" s="3"/>
      <c r="AK53" s="3" t="str">
        <f t="shared" si="1"/>
        <v>Stark County Area JVSD</v>
      </c>
      <c r="AL53" s="3" t="str">
        <f>'St of Act-Exp'!A53</f>
        <v>Stark County Area JVSD</v>
      </c>
      <c r="AM53" s="16" t="b">
        <f t="shared" si="2"/>
        <v>1</v>
      </c>
      <c r="AO53" s="3" t="str">
        <f t="shared" si="3"/>
        <v>Stark</v>
      </c>
      <c r="AP53" s="3" t="str">
        <f>'St of Act-Exp'!C53</f>
        <v>Stark</v>
      </c>
      <c r="AQ53" s="16" t="b">
        <f t="shared" si="4"/>
        <v>1</v>
      </c>
    </row>
    <row r="54" spans="1:43">
      <c r="A54" s="3" t="s">
        <v>290</v>
      </c>
      <c r="B54" s="16"/>
      <c r="C54" s="16" t="s">
        <v>220</v>
      </c>
      <c r="E54" s="16"/>
      <c r="G54" s="3">
        <v>5176688</v>
      </c>
      <c r="H54" s="3"/>
      <c r="I54" s="3">
        <v>0</v>
      </c>
      <c r="J54" s="3"/>
      <c r="K54" s="8">
        <f t="shared" si="6"/>
        <v>8977568</v>
      </c>
      <c r="L54" s="3"/>
      <c r="M54" s="3">
        <v>14154256</v>
      </c>
      <c r="N54" s="3"/>
      <c r="O54" s="8">
        <f t="shared" si="7"/>
        <v>1104763</v>
      </c>
      <c r="P54" s="3"/>
      <c r="Q54" s="3">
        <v>5908007</v>
      </c>
      <c r="R54" s="3"/>
      <c r="S54" s="3">
        <v>7012770</v>
      </c>
      <c r="T54" s="3"/>
      <c r="U54" s="3">
        <f>58223+18630</f>
        <v>76853</v>
      </c>
      <c r="V54" s="3"/>
      <c r="W54" s="3">
        <v>0</v>
      </c>
      <c r="X54" s="3"/>
      <c r="Y54" s="3">
        <v>0</v>
      </c>
      <c r="Z54" s="3"/>
      <c r="AA54" s="3">
        <v>91680</v>
      </c>
      <c r="AB54" s="3"/>
      <c r="AC54" s="3">
        <v>6972953</v>
      </c>
      <c r="AD54" s="3"/>
      <c r="AE54" s="27">
        <f t="shared" si="5"/>
        <v>7141486</v>
      </c>
      <c r="AF54" s="16"/>
      <c r="AG54" s="3">
        <f t="shared" si="0"/>
        <v>0</v>
      </c>
      <c r="AJ54" s="3"/>
      <c r="AK54" s="3" t="str">
        <f t="shared" si="1"/>
        <v>Tolles Career and Technical Center</v>
      </c>
      <c r="AL54" s="3" t="str">
        <f>'St of Act-Exp'!A54</f>
        <v>Tolles Career and Technical Center</v>
      </c>
      <c r="AM54" s="16" t="b">
        <f t="shared" si="2"/>
        <v>1</v>
      </c>
      <c r="AO54" s="3" t="str">
        <f t="shared" si="3"/>
        <v>Madison</v>
      </c>
      <c r="AP54" s="3" t="str">
        <f>'St of Act-Exp'!C54</f>
        <v>Madison</v>
      </c>
      <c r="AQ54" s="16" t="b">
        <f t="shared" si="4"/>
        <v>1</v>
      </c>
    </row>
    <row r="55" spans="1:43">
      <c r="A55" s="3" t="s">
        <v>312</v>
      </c>
      <c r="B55" s="16"/>
      <c r="C55" s="16" t="s">
        <v>148</v>
      </c>
      <c r="E55" s="16">
        <v>51607</v>
      </c>
      <c r="G55" s="3">
        <v>2611939</v>
      </c>
      <c r="H55" s="3"/>
      <c r="I55" s="3">
        <v>0</v>
      </c>
      <c r="J55" s="3"/>
      <c r="K55" s="8">
        <f t="shared" si="6"/>
        <v>4086175</v>
      </c>
      <c r="L55" s="3"/>
      <c r="M55" s="3">
        <v>6698114</v>
      </c>
      <c r="N55" s="3"/>
      <c r="O55" s="8">
        <f t="shared" si="7"/>
        <v>568840</v>
      </c>
      <c r="P55" s="3"/>
      <c r="Q55" s="3">
        <v>3422541</v>
      </c>
      <c r="R55" s="3"/>
      <c r="S55" s="3">
        <v>3991381</v>
      </c>
      <c r="T55" s="3"/>
      <c r="U55" s="3">
        <v>61650</v>
      </c>
      <c r="V55" s="3"/>
      <c r="W55" s="3">
        <v>0</v>
      </c>
      <c r="X55" s="3"/>
      <c r="Y55" s="3">
        <v>0</v>
      </c>
      <c r="Z55" s="3"/>
      <c r="AA55" s="3">
        <v>201319</v>
      </c>
      <c r="AB55" s="3"/>
      <c r="AC55" s="3">
        <v>2443764</v>
      </c>
      <c r="AD55" s="3"/>
      <c r="AE55" s="27">
        <f t="shared" si="5"/>
        <v>2706733</v>
      </c>
      <c r="AF55" s="16"/>
      <c r="AG55" s="3">
        <f t="shared" si="0"/>
        <v>0</v>
      </c>
      <c r="AJ55" s="3"/>
      <c r="AK55" s="3" t="str">
        <f t="shared" si="1"/>
        <v>Tri County Career Center</v>
      </c>
      <c r="AL55" s="3" t="str">
        <f>'St of Act-Exp'!A55</f>
        <v>Tri County Career Center</v>
      </c>
      <c r="AM55" s="16" t="b">
        <f t="shared" si="2"/>
        <v>1</v>
      </c>
      <c r="AO55" s="3" t="str">
        <f t="shared" si="3"/>
        <v>Athens</v>
      </c>
      <c r="AP55" s="3" t="str">
        <f>'St of Act-Exp'!C55</f>
        <v>Athens</v>
      </c>
      <c r="AQ55" s="16" t="b">
        <f t="shared" si="4"/>
        <v>1</v>
      </c>
    </row>
    <row r="56" spans="1:43">
      <c r="A56" s="3" t="s">
        <v>221</v>
      </c>
      <c r="B56" s="16"/>
      <c r="C56" s="16" t="s">
        <v>222</v>
      </c>
      <c r="E56" s="16">
        <v>65268</v>
      </c>
      <c r="G56" s="3">
        <v>3812254</v>
      </c>
      <c r="H56" s="3"/>
      <c r="I56" s="3">
        <v>0</v>
      </c>
      <c r="J56" s="3"/>
      <c r="K56" s="8">
        <f t="shared" si="6"/>
        <v>4145495</v>
      </c>
      <c r="L56" s="3"/>
      <c r="M56" s="3">
        <v>7957749</v>
      </c>
      <c r="N56" s="3"/>
      <c r="O56" s="8">
        <f t="shared" si="7"/>
        <v>937892</v>
      </c>
      <c r="P56" s="3"/>
      <c r="Q56" s="3">
        <v>2938940</v>
      </c>
      <c r="R56" s="3"/>
      <c r="S56" s="3">
        <v>3876832</v>
      </c>
      <c r="T56" s="3"/>
      <c r="U56" s="3">
        <v>57602</v>
      </c>
      <c r="V56" s="3"/>
      <c r="W56" s="3">
        <v>0</v>
      </c>
      <c r="X56" s="3"/>
      <c r="Y56" s="3">
        <v>0</v>
      </c>
      <c r="Z56" s="3"/>
      <c r="AA56" s="3">
        <v>193913</v>
      </c>
      <c r="AB56" s="3"/>
      <c r="AC56" s="3">
        <v>3829402</v>
      </c>
      <c r="AD56" s="3"/>
      <c r="AE56" s="27">
        <f t="shared" si="5"/>
        <v>4080917</v>
      </c>
      <c r="AF56" s="16"/>
      <c r="AG56" s="3">
        <f t="shared" si="0"/>
        <v>0</v>
      </c>
      <c r="AJ56" s="3"/>
      <c r="AK56" s="3" t="str">
        <f t="shared" si="1"/>
        <v>Tri-Rivers JVSD</v>
      </c>
      <c r="AL56" s="3" t="str">
        <f>'St of Act-Exp'!A56</f>
        <v>Tri-Rivers JVSD</v>
      </c>
      <c r="AM56" s="16" t="b">
        <f t="shared" si="2"/>
        <v>1</v>
      </c>
      <c r="AO56" s="3" t="str">
        <f t="shared" si="3"/>
        <v>Marion</v>
      </c>
      <c r="AP56" s="3" t="str">
        <f>'St of Act-Exp'!C56</f>
        <v>Marion</v>
      </c>
      <c r="AQ56" s="16" t="b">
        <f t="shared" si="4"/>
        <v>1</v>
      </c>
    </row>
    <row r="57" spans="1:43">
      <c r="A57" s="3" t="s">
        <v>313</v>
      </c>
      <c r="B57" s="16"/>
      <c r="C57" s="16" t="s">
        <v>201</v>
      </c>
      <c r="E57" s="16">
        <v>51631</v>
      </c>
      <c r="G57" s="3">
        <v>10097865</v>
      </c>
      <c r="H57" s="3"/>
      <c r="I57" s="3">
        <v>0</v>
      </c>
      <c r="J57" s="3"/>
      <c r="K57" s="8">
        <f t="shared" si="6"/>
        <v>6883570</v>
      </c>
      <c r="L57" s="3"/>
      <c r="M57" s="3">
        <v>16981435</v>
      </c>
      <c r="N57" s="3"/>
      <c r="O57" s="8">
        <f t="shared" si="7"/>
        <v>1183337</v>
      </c>
      <c r="P57" s="3"/>
      <c r="Q57" s="3">
        <f>5528100+1565167</f>
        <v>7093267</v>
      </c>
      <c r="R57" s="3"/>
      <c r="S57" s="3">
        <v>8276604</v>
      </c>
      <c r="T57" s="3"/>
      <c r="U57" s="3">
        <v>28883</v>
      </c>
      <c r="V57" s="3"/>
      <c r="W57" s="3">
        <v>0</v>
      </c>
      <c r="X57" s="3"/>
      <c r="Y57" s="3">
        <v>90245</v>
      </c>
      <c r="Z57" s="3"/>
      <c r="AA57" s="3">
        <f>56700+58470+228+180640</f>
        <v>296038</v>
      </c>
      <c r="AB57" s="3"/>
      <c r="AC57" s="3">
        <v>8289665</v>
      </c>
      <c r="AD57" s="3"/>
      <c r="AE57" s="27">
        <f t="shared" si="5"/>
        <v>8704831</v>
      </c>
      <c r="AF57" s="16"/>
      <c r="AG57" s="3">
        <f t="shared" si="0"/>
        <v>0</v>
      </c>
      <c r="AJ57" s="3"/>
      <c r="AK57" s="3" t="str">
        <f t="shared" si="1"/>
        <v>Trumbull Career &amp; Tech Center</v>
      </c>
      <c r="AL57" s="3" t="str">
        <f>'St of Act-Exp'!A57</f>
        <v>Trumbull Career &amp; Tech Center</v>
      </c>
      <c r="AM57" s="16" t="b">
        <f t="shared" si="2"/>
        <v>1</v>
      </c>
      <c r="AO57" s="3" t="str">
        <f t="shared" si="3"/>
        <v>Trumbull</v>
      </c>
      <c r="AP57" s="3" t="str">
        <f>'St of Act-Exp'!C57</f>
        <v>Trumbull</v>
      </c>
      <c r="AQ57" s="16" t="b">
        <f t="shared" si="4"/>
        <v>1</v>
      </c>
    </row>
    <row r="58" spans="1:43">
      <c r="A58" s="3" t="s">
        <v>212</v>
      </c>
      <c r="B58" s="16"/>
      <c r="C58" s="16" t="s">
        <v>157</v>
      </c>
      <c r="E58" s="16">
        <v>62802</v>
      </c>
      <c r="G58" s="3">
        <v>9340901</v>
      </c>
      <c r="H58" s="3"/>
      <c r="I58" s="3">
        <v>24056</v>
      </c>
      <c r="J58" s="3"/>
      <c r="K58" s="8">
        <f t="shared" si="6"/>
        <v>3707065</v>
      </c>
      <c r="L58" s="3"/>
      <c r="M58" s="3">
        <v>13072022</v>
      </c>
      <c r="N58" s="3"/>
      <c r="O58" s="8">
        <f t="shared" si="7"/>
        <v>544796</v>
      </c>
      <c r="P58" s="3"/>
      <c r="Q58" s="3">
        <v>3077907</v>
      </c>
      <c r="R58" s="3"/>
      <c r="S58" s="3">
        <v>3622703</v>
      </c>
      <c r="T58" s="3"/>
      <c r="U58" s="3">
        <v>0</v>
      </c>
      <c r="V58" s="3"/>
      <c r="W58" s="3">
        <v>24056</v>
      </c>
      <c r="X58" s="3"/>
      <c r="Y58" s="3">
        <v>0</v>
      </c>
      <c r="Z58" s="3"/>
      <c r="AA58" s="3">
        <v>300425</v>
      </c>
      <c r="AB58" s="3"/>
      <c r="AC58" s="3">
        <v>9124838</v>
      </c>
      <c r="AD58" s="3"/>
      <c r="AE58" s="27">
        <f t="shared" si="5"/>
        <v>9449319</v>
      </c>
      <c r="AF58" s="16"/>
      <c r="AG58" s="3">
        <f t="shared" si="0"/>
        <v>0</v>
      </c>
      <c r="AJ58" s="3"/>
      <c r="AK58" s="3" t="str">
        <f t="shared" si="1"/>
        <v>U S Grant JVSD</v>
      </c>
      <c r="AL58" s="3" t="str">
        <f>'St of Act-Exp'!A58</f>
        <v>U S Grant JVSD</v>
      </c>
      <c r="AM58" s="16" t="b">
        <f t="shared" si="2"/>
        <v>1</v>
      </c>
      <c r="AO58" s="3" t="str">
        <f t="shared" si="3"/>
        <v>Clermont</v>
      </c>
      <c r="AP58" s="3" t="str">
        <f>'St of Act-Exp'!C58</f>
        <v>Clermont</v>
      </c>
      <c r="AQ58" s="16" t="b">
        <f t="shared" si="4"/>
        <v>1</v>
      </c>
    </row>
    <row r="59" spans="1:43">
      <c r="A59" s="3" t="s">
        <v>224</v>
      </c>
      <c r="B59" s="16"/>
      <c r="C59" s="16" t="s">
        <v>183</v>
      </c>
      <c r="E59" s="16">
        <v>62125</v>
      </c>
      <c r="G59" s="3">
        <v>3917988</v>
      </c>
      <c r="H59" s="3"/>
      <c r="I59" s="3">
        <v>0</v>
      </c>
      <c r="J59" s="3"/>
      <c r="K59" s="8">
        <f>+M59-I59-G59</f>
        <v>5815848</v>
      </c>
      <c r="L59" s="3"/>
      <c r="M59" s="3">
        <v>9733836</v>
      </c>
      <c r="N59" s="3"/>
      <c r="O59" s="8">
        <f t="shared" si="7"/>
        <v>1953620</v>
      </c>
      <c r="P59" s="3"/>
      <c r="Q59" s="3">
        <v>5427677</v>
      </c>
      <c r="R59" s="3"/>
      <c r="S59" s="3">
        <v>7381297</v>
      </c>
      <c r="T59" s="3"/>
      <c r="U59" s="3">
        <v>67366</v>
      </c>
      <c r="V59" s="3"/>
      <c r="W59" s="3">
        <v>0</v>
      </c>
      <c r="X59" s="3"/>
      <c r="Y59" s="3">
        <v>133033</v>
      </c>
      <c r="Z59" s="3"/>
      <c r="AA59" s="3">
        <v>2152140</v>
      </c>
      <c r="AB59" s="3"/>
      <c r="AC59" s="3">
        <v>0</v>
      </c>
      <c r="AD59" s="3"/>
      <c r="AE59" s="27">
        <f t="shared" si="5"/>
        <v>2352539</v>
      </c>
      <c r="AF59" s="16"/>
      <c r="AG59" s="3">
        <f t="shared" si="0"/>
        <v>0</v>
      </c>
      <c r="AJ59" s="3"/>
      <c r="AK59" s="3" t="str">
        <f t="shared" si="1"/>
        <v>Upper Valley JVSD</v>
      </c>
      <c r="AL59" s="3" t="str">
        <f>'St of Act-Exp'!A59</f>
        <v>Upper Valley JVSD</v>
      </c>
      <c r="AM59" s="16" t="b">
        <f t="shared" si="2"/>
        <v>1</v>
      </c>
      <c r="AO59" s="3" t="str">
        <f t="shared" si="3"/>
        <v>Miami</v>
      </c>
      <c r="AP59" s="3" t="str">
        <f>'St of Act-Exp'!C59</f>
        <v>Miami</v>
      </c>
      <c r="AQ59" s="16" t="b">
        <f t="shared" si="4"/>
        <v>1</v>
      </c>
    </row>
    <row r="60" spans="1:43">
      <c r="A60" s="3" t="s">
        <v>261</v>
      </c>
      <c r="B60" s="16"/>
      <c r="C60" s="16" t="s">
        <v>195</v>
      </c>
      <c r="E60" s="16">
        <v>51458</v>
      </c>
      <c r="G60" s="3">
        <f>5370027+431</f>
        <v>5370458</v>
      </c>
      <c r="H60" s="3"/>
      <c r="I60" s="3">
        <v>55852</v>
      </c>
      <c r="J60" s="3"/>
      <c r="K60" s="8">
        <f t="shared" si="6"/>
        <v>4634330</v>
      </c>
      <c r="L60" s="3"/>
      <c r="M60" s="3">
        <v>10060640</v>
      </c>
      <c r="N60" s="3"/>
      <c r="O60" s="8">
        <f t="shared" si="7"/>
        <v>1186818</v>
      </c>
      <c r="P60" s="3"/>
      <c r="Q60" s="3">
        <v>2863281</v>
      </c>
      <c r="R60" s="3"/>
      <c r="S60" s="3">
        <v>4050099</v>
      </c>
      <c r="T60" s="3"/>
      <c r="U60" s="3">
        <v>95669</v>
      </c>
      <c r="V60" s="3"/>
      <c r="W60" s="3">
        <v>0</v>
      </c>
      <c r="X60" s="3"/>
      <c r="Y60" s="3">
        <v>615910</v>
      </c>
      <c r="Z60" s="3"/>
      <c r="AA60" s="3">
        <v>0</v>
      </c>
      <c r="AB60" s="3"/>
      <c r="AC60" s="3">
        <v>5298962</v>
      </c>
      <c r="AD60" s="3"/>
      <c r="AE60" s="27">
        <f t="shared" si="5"/>
        <v>6010541</v>
      </c>
      <c r="AF60" s="16"/>
      <c r="AG60" s="3">
        <f t="shared" si="0"/>
        <v>0</v>
      </c>
      <c r="AJ60" s="32"/>
      <c r="AK60" s="3" t="str">
        <f t="shared" si="1"/>
        <v>Vanguard-Sentinel Career Center</v>
      </c>
      <c r="AL60" s="3" t="str">
        <f>'St of Act-Exp'!A60</f>
        <v>Vanguard-Sentinel Career Center</v>
      </c>
      <c r="AM60" s="16" t="b">
        <f t="shared" si="2"/>
        <v>1</v>
      </c>
      <c r="AO60" s="3" t="str">
        <f t="shared" si="3"/>
        <v>Sandusky</v>
      </c>
      <c r="AP60" s="3" t="str">
        <f>'St of Act-Exp'!C60</f>
        <v>Sandusky</v>
      </c>
      <c r="AQ60" s="16" t="b">
        <f t="shared" si="4"/>
        <v>1</v>
      </c>
    </row>
    <row r="61" spans="1:43">
      <c r="A61" s="3" t="s">
        <v>262</v>
      </c>
      <c r="B61" s="16"/>
      <c r="C61" s="16" t="s">
        <v>204</v>
      </c>
      <c r="E61" s="16">
        <v>51672</v>
      </c>
      <c r="G61" s="3">
        <v>3255976</v>
      </c>
      <c r="H61" s="3"/>
      <c r="I61" s="3">
        <v>0</v>
      </c>
      <c r="J61" s="3"/>
      <c r="K61" s="8">
        <f t="shared" si="6"/>
        <v>2937078</v>
      </c>
      <c r="L61" s="3"/>
      <c r="M61" s="3">
        <v>6193054</v>
      </c>
      <c r="N61" s="3"/>
      <c r="O61" s="8">
        <f t="shared" si="7"/>
        <v>705939</v>
      </c>
      <c r="P61" s="3"/>
      <c r="Q61" s="3">
        <f>246065+2326692</f>
        <v>2572757</v>
      </c>
      <c r="R61" s="3"/>
      <c r="S61" s="3">
        <v>3278696</v>
      </c>
      <c r="T61" s="3"/>
      <c r="U61" s="3">
        <f>81934+42961</f>
        <v>124895</v>
      </c>
      <c r="V61" s="3"/>
      <c r="W61" s="3">
        <v>0</v>
      </c>
      <c r="X61" s="3"/>
      <c r="Y61" s="3">
        <v>0</v>
      </c>
      <c r="Z61" s="3"/>
      <c r="AA61" s="3">
        <f>33005+78334+1278+200575</f>
        <v>313192</v>
      </c>
      <c r="AB61" s="3"/>
      <c r="AC61" s="3">
        <v>2476271</v>
      </c>
      <c r="AD61" s="3"/>
      <c r="AE61" s="27">
        <f t="shared" si="5"/>
        <v>2914358</v>
      </c>
      <c r="AF61" s="16"/>
      <c r="AG61" s="3">
        <f t="shared" si="0"/>
        <v>0</v>
      </c>
      <c r="AJ61" s="3"/>
      <c r="AK61" s="3" t="str">
        <f t="shared" si="1"/>
        <v>Vantage Career Center</v>
      </c>
      <c r="AL61" s="3" t="str">
        <f>'St of Act-Exp'!A61</f>
        <v>Vantage Career Center</v>
      </c>
      <c r="AM61" s="16" t="b">
        <f t="shared" si="2"/>
        <v>1</v>
      </c>
      <c r="AO61" s="3" t="str">
        <f t="shared" si="3"/>
        <v>Van Wert</v>
      </c>
      <c r="AP61" s="3" t="str">
        <f>'St of Act-Exp'!C61</f>
        <v>Van Wert</v>
      </c>
      <c r="AQ61" s="16" t="b">
        <f t="shared" si="4"/>
        <v>1</v>
      </c>
    </row>
    <row r="62" spans="1:43">
      <c r="A62" s="3" t="s">
        <v>228</v>
      </c>
      <c r="B62" s="16"/>
      <c r="C62" s="16" t="s">
        <v>205</v>
      </c>
      <c r="E62" s="16">
        <v>51474</v>
      </c>
      <c r="G62" s="3">
        <v>12041421</v>
      </c>
      <c r="H62" s="3"/>
      <c r="I62" s="3">
        <v>22723</v>
      </c>
      <c r="J62" s="3"/>
      <c r="K62" s="8">
        <f t="shared" si="6"/>
        <v>9339351</v>
      </c>
      <c r="L62" s="3"/>
      <c r="M62" s="3">
        <v>21403495</v>
      </c>
      <c r="N62" s="3"/>
      <c r="O62" s="8">
        <f t="shared" si="7"/>
        <v>1045231</v>
      </c>
      <c r="P62" s="3"/>
      <c r="Q62" s="3">
        <v>8468022</v>
      </c>
      <c r="R62" s="3"/>
      <c r="S62" s="3">
        <v>9513253</v>
      </c>
      <c r="T62" s="3"/>
      <c r="U62" s="3">
        <v>90234</v>
      </c>
      <c r="V62" s="3"/>
      <c r="W62" s="3">
        <v>22723</v>
      </c>
      <c r="X62" s="3"/>
      <c r="Y62" s="3">
        <v>0</v>
      </c>
      <c r="Z62" s="3"/>
      <c r="AA62" s="3">
        <v>489714</v>
      </c>
      <c r="AB62" s="3"/>
      <c r="AC62" s="3">
        <v>11287571</v>
      </c>
      <c r="AD62" s="3"/>
      <c r="AE62" s="27">
        <f t="shared" si="5"/>
        <v>11890242</v>
      </c>
      <c r="AF62" s="16"/>
      <c r="AG62" s="3">
        <f t="shared" si="0"/>
        <v>0</v>
      </c>
      <c r="AJ62" s="3"/>
      <c r="AK62" s="3" t="str">
        <f t="shared" si="1"/>
        <v>Warren County JVSD</v>
      </c>
      <c r="AL62" s="3" t="str">
        <f>'St of Act-Exp'!A62</f>
        <v>Warren County JVSD</v>
      </c>
      <c r="AM62" s="16" t="b">
        <f t="shared" si="2"/>
        <v>1</v>
      </c>
      <c r="AO62" s="3" t="str">
        <f t="shared" si="3"/>
        <v>Warren</v>
      </c>
      <c r="AP62" s="3" t="str">
        <f>'St of Act-Exp'!C62</f>
        <v>Warren</v>
      </c>
      <c r="AQ62" s="16" t="b">
        <f t="shared" si="4"/>
        <v>1</v>
      </c>
    </row>
    <row r="63" spans="1:43">
      <c r="A63" s="3" t="s">
        <v>276</v>
      </c>
      <c r="B63" s="16"/>
      <c r="C63" s="16" t="s">
        <v>206</v>
      </c>
      <c r="E63" s="16">
        <v>51698</v>
      </c>
      <c r="G63" s="3">
        <v>3306549</v>
      </c>
      <c r="H63" s="3"/>
      <c r="I63" s="3">
        <f>29382+286827</f>
        <v>316209</v>
      </c>
      <c r="J63" s="3"/>
      <c r="K63" s="8">
        <f t="shared" si="6"/>
        <v>2208666</v>
      </c>
      <c r="L63" s="3"/>
      <c r="M63" s="3">
        <v>5831424</v>
      </c>
      <c r="N63" s="3"/>
      <c r="O63" s="8">
        <f t="shared" si="7"/>
        <v>426223</v>
      </c>
      <c r="P63" s="3"/>
      <c r="Q63" s="3">
        <v>2141938</v>
      </c>
      <c r="R63" s="3"/>
      <c r="S63" s="3">
        <v>2568161</v>
      </c>
      <c r="T63" s="3"/>
      <c r="U63" s="3">
        <v>25567</v>
      </c>
      <c r="V63" s="3"/>
      <c r="W63" s="3">
        <v>29382</v>
      </c>
      <c r="X63" s="3"/>
      <c r="Y63" s="3">
        <v>0</v>
      </c>
      <c r="Z63" s="3"/>
      <c r="AA63" s="3">
        <v>22925</v>
      </c>
      <c r="AB63" s="3"/>
      <c r="AC63" s="3">
        <v>3185389</v>
      </c>
      <c r="AD63" s="3"/>
      <c r="AE63" s="27">
        <f t="shared" si="5"/>
        <v>3263263</v>
      </c>
      <c r="AF63" s="16"/>
      <c r="AG63" s="3">
        <f t="shared" si="0"/>
        <v>0</v>
      </c>
      <c r="AJ63" s="3"/>
      <c r="AK63" s="3" t="str">
        <f t="shared" si="1"/>
        <v>Washington County Career Center</v>
      </c>
      <c r="AL63" s="3" t="str">
        <f>'St of Act-Exp'!A63</f>
        <v>Washington County Career Center</v>
      </c>
      <c r="AM63" s="16" t="b">
        <f t="shared" si="2"/>
        <v>1</v>
      </c>
      <c r="AO63" s="3" t="str">
        <f t="shared" si="3"/>
        <v>Washington</v>
      </c>
      <c r="AP63" s="3" t="str">
        <f>'St of Act-Exp'!C63</f>
        <v>Washington</v>
      </c>
      <c r="AQ63" s="16" t="b">
        <f t="shared" si="4"/>
        <v>1</v>
      </c>
    </row>
    <row r="64" spans="1:43">
      <c r="A64" s="3" t="s">
        <v>263</v>
      </c>
      <c r="B64" s="16"/>
      <c r="C64" s="16" t="s">
        <v>208</v>
      </c>
      <c r="E64" s="16">
        <v>51714</v>
      </c>
      <c r="G64" s="3">
        <v>6331907</v>
      </c>
      <c r="H64" s="3"/>
      <c r="I64" s="3">
        <v>0</v>
      </c>
      <c r="J64" s="3"/>
      <c r="K64" s="8">
        <f t="shared" si="6"/>
        <v>4263695</v>
      </c>
      <c r="L64" s="3"/>
      <c r="M64" s="3">
        <v>10595602</v>
      </c>
      <c r="N64" s="3"/>
      <c r="O64" s="8">
        <f t="shared" si="7"/>
        <v>1033653</v>
      </c>
      <c r="P64" s="3"/>
      <c r="Q64" s="3">
        <v>3875972</v>
      </c>
      <c r="R64" s="3"/>
      <c r="S64" s="3">
        <v>4909625</v>
      </c>
      <c r="T64" s="3"/>
      <c r="U64" s="3">
        <v>0</v>
      </c>
      <c r="V64" s="3"/>
      <c r="W64" s="3">
        <v>0</v>
      </c>
      <c r="X64" s="3"/>
      <c r="Y64" s="3">
        <v>0</v>
      </c>
      <c r="Z64" s="3"/>
      <c r="AA64" s="3">
        <v>582603</v>
      </c>
      <c r="AB64" s="3"/>
      <c r="AC64" s="3">
        <v>5103374</v>
      </c>
      <c r="AD64" s="3"/>
      <c r="AE64" s="27">
        <f t="shared" si="5"/>
        <v>5685977</v>
      </c>
      <c r="AF64" s="16"/>
      <c r="AG64" s="3">
        <f t="shared" si="0"/>
        <v>0</v>
      </c>
      <c r="AJ64" s="32"/>
      <c r="AK64" s="3" t="str">
        <f t="shared" si="1"/>
        <v>Wayne County JVSD</v>
      </c>
      <c r="AL64" s="3" t="str">
        <f>'St of Act-Exp'!A64</f>
        <v>Wayne County JVSD</v>
      </c>
      <c r="AM64" s="16" t="b">
        <f t="shared" si="2"/>
        <v>1</v>
      </c>
      <c r="AO64" s="3" t="str">
        <f t="shared" si="3"/>
        <v>Wayne</v>
      </c>
      <c r="AP64" s="3" t="str">
        <f>'St of Act-Exp'!C64</f>
        <v>Wayne</v>
      </c>
      <c r="AQ64" s="16" t="b">
        <f t="shared" si="4"/>
        <v>1</v>
      </c>
    </row>
    <row r="65" spans="1:43">
      <c r="A65" s="3"/>
      <c r="B65" s="16"/>
      <c r="C65" s="16"/>
      <c r="E65" s="16"/>
      <c r="G65" s="3"/>
      <c r="H65" s="3"/>
      <c r="I65" s="3"/>
      <c r="J65" s="3"/>
      <c r="K65" s="8"/>
      <c r="L65" s="3"/>
      <c r="M65" s="3"/>
      <c r="N65" s="3"/>
      <c r="O65" s="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7"/>
      <c r="AF65" s="16"/>
      <c r="AG65" s="3">
        <f t="shared" si="0"/>
        <v>0</v>
      </c>
      <c r="AK65" s="3"/>
      <c r="AL65" s="3"/>
      <c r="AO65" s="3"/>
      <c r="AP65" s="3"/>
    </row>
    <row r="66" spans="1:43">
      <c r="A66" s="3"/>
      <c r="B66" s="16"/>
      <c r="C66" s="16"/>
      <c r="E66" s="16"/>
      <c r="G66" s="3"/>
      <c r="H66" s="3"/>
      <c r="I66" s="3"/>
      <c r="J66" s="3"/>
      <c r="K66" s="8"/>
      <c r="L66" s="3"/>
      <c r="M66" s="3"/>
      <c r="N66" s="3"/>
      <c r="O66" s="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7" t="s">
        <v>266</v>
      </c>
      <c r="AF66" s="16"/>
      <c r="AG66" s="3">
        <f t="shared" si="0"/>
        <v>0</v>
      </c>
      <c r="AK66" s="3"/>
      <c r="AL66" s="3"/>
      <c r="AO66" s="3"/>
      <c r="AP66" s="3"/>
    </row>
    <row r="67" spans="1:43">
      <c r="A67" s="40" t="s">
        <v>265</v>
      </c>
      <c r="B67" s="16"/>
      <c r="C67" s="16"/>
      <c r="E67" s="1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27"/>
      <c r="AF67" s="16"/>
      <c r="AG67" s="3">
        <f t="shared" si="0"/>
        <v>0</v>
      </c>
      <c r="AK67" s="3"/>
      <c r="AL67" s="3"/>
      <c r="AO67" s="3"/>
      <c r="AP67" s="3"/>
    </row>
    <row r="68" spans="1:43">
      <c r="A68" s="40"/>
      <c r="B68" s="16"/>
      <c r="C68" s="16"/>
      <c r="E68" s="1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27"/>
      <c r="AF68" s="16"/>
      <c r="AG68" s="3"/>
      <c r="AK68" s="3"/>
      <c r="AL68" s="3"/>
      <c r="AO68" s="3"/>
      <c r="AP68" s="3"/>
    </row>
    <row r="69" spans="1:43" s="72" customFormat="1" hidden="1">
      <c r="A69" s="65" t="s">
        <v>414</v>
      </c>
      <c r="B69" s="65"/>
      <c r="C69" s="65" t="s">
        <v>272</v>
      </c>
      <c r="E69" s="66">
        <v>45849</v>
      </c>
      <c r="G69" s="65"/>
      <c r="H69" s="65"/>
      <c r="I69" s="65"/>
      <c r="J69" s="65"/>
      <c r="K69" s="70">
        <f>+M69-I69-G69</f>
        <v>0</v>
      </c>
      <c r="L69" s="65"/>
      <c r="M69" s="65"/>
      <c r="N69" s="65"/>
      <c r="O69" s="70">
        <f>+S69-Q69</f>
        <v>0</v>
      </c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73">
        <f>SUM(U69:AC69)</f>
        <v>0</v>
      </c>
      <c r="AF69" s="66"/>
      <c r="AG69" s="65">
        <f t="shared" si="0"/>
        <v>0</v>
      </c>
      <c r="AJ69" s="66" t="s">
        <v>413</v>
      </c>
      <c r="AK69" s="65" t="str">
        <f t="shared" si="1"/>
        <v>Allen County Educ Srv Ctr (CASH)</v>
      </c>
      <c r="AL69" s="65" t="str">
        <f>'St of Act-Exp'!A69</f>
        <v>Allen County Educ Srv Ctr (CASH)</v>
      </c>
      <c r="AM69" s="66" t="b">
        <f t="shared" si="2"/>
        <v>1</v>
      </c>
      <c r="AO69" s="65" t="str">
        <f t="shared" si="3"/>
        <v>Allen</v>
      </c>
      <c r="AP69" s="65" t="str">
        <f>'St of Act-Exp'!C69</f>
        <v>Allen</v>
      </c>
      <c r="AQ69" s="66" t="b">
        <f t="shared" si="4"/>
        <v>1</v>
      </c>
    </row>
    <row r="70" spans="1:43" s="72" customFormat="1" hidden="1">
      <c r="A70" s="65" t="s">
        <v>415</v>
      </c>
      <c r="B70" s="65"/>
      <c r="C70" s="65" t="s">
        <v>147</v>
      </c>
      <c r="E70" s="66"/>
      <c r="G70" s="65"/>
      <c r="H70" s="65"/>
      <c r="I70" s="65"/>
      <c r="J70" s="65"/>
      <c r="K70" s="70">
        <f>+M70-I70-G70</f>
        <v>0</v>
      </c>
      <c r="L70" s="65"/>
      <c r="M70" s="65"/>
      <c r="N70" s="65"/>
      <c r="O70" s="70">
        <f>+S70-Q70</f>
        <v>0</v>
      </c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73">
        <f>SUM(U70:AC70)</f>
        <v>0</v>
      </c>
      <c r="AF70" s="66"/>
      <c r="AG70" s="65">
        <f t="shared" si="0"/>
        <v>0</v>
      </c>
      <c r="AJ70" s="66" t="s">
        <v>377</v>
      </c>
      <c r="AK70" s="65" t="str">
        <f t="shared" si="1"/>
        <v>Ashtabula County Educ Srv Ctr (CASH)</v>
      </c>
      <c r="AL70" s="65" t="str">
        <f>'St of Act-Exp'!A70</f>
        <v>Ashtabula County Educ Srv Ctr (CASH)</v>
      </c>
      <c r="AM70" s="66" t="b">
        <f t="shared" si="2"/>
        <v>1</v>
      </c>
      <c r="AO70" s="65" t="str">
        <f t="shared" si="3"/>
        <v>Ashtabula</v>
      </c>
      <c r="AP70" s="65" t="str">
        <f>'St of Act-Exp'!C70</f>
        <v>Ashtabula</v>
      </c>
      <c r="AQ70" s="66" t="b">
        <f t="shared" si="4"/>
        <v>1</v>
      </c>
    </row>
    <row r="71" spans="1:43">
      <c r="A71" s="3" t="s">
        <v>151</v>
      </c>
      <c r="B71" s="16"/>
      <c r="C71" s="16" t="s">
        <v>148</v>
      </c>
      <c r="E71" s="16">
        <v>135145</v>
      </c>
      <c r="G71" s="20">
        <v>722531</v>
      </c>
      <c r="H71" s="20"/>
      <c r="I71" s="20">
        <v>0</v>
      </c>
      <c r="J71" s="20"/>
      <c r="K71" s="15">
        <f>+M71-I71-G71</f>
        <v>206926</v>
      </c>
      <c r="L71" s="20"/>
      <c r="M71" s="20">
        <v>929457</v>
      </c>
      <c r="N71" s="20"/>
      <c r="O71" s="15">
        <f>+S71-Q71</f>
        <v>439381</v>
      </c>
      <c r="P71" s="20"/>
      <c r="Q71" s="20">
        <v>0</v>
      </c>
      <c r="R71" s="20"/>
      <c r="S71" s="20">
        <v>439381</v>
      </c>
      <c r="T71" s="20"/>
      <c r="U71" s="20">
        <v>0</v>
      </c>
      <c r="V71" s="20"/>
      <c r="W71" s="20">
        <v>0</v>
      </c>
      <c r="X71" s="20"/>
      <c r="Y71" s="20">
        <v>0</v>
      </c>
      <c r="Z71" s="20"/>
      <c r="AA71" s="20">
        <v>106058</v>
      </c>
      <c r="AB71" s="20"/>
      <c r="AC71" s="20">
        <v>384018</v>
      </c>
      <c r="AD71" s="20"/>
      <c r="AE71" s="24">
        <f t="shared" ref="AE71:AE130" si="8">SUM(U71:AC71)</f>
        <v>490076</v>
      </c>
      <c r="AF71" s="16"/>
      <c r="AG71" s="3">
        <f t="shared" si="0"/>
        <v>0</v>
      </c>
      <c r="AJ71" s="16"/>
      <c r="AK71" s="3" t="str">
        <f t="shared" si="1"/>
        <v>Athens-Meigs Educ Srv Ctr</v>
      </c>
      <c r="AL71" s="3" t="str">
        <f>'St of Act-Exp'!A71</f>
        <v>Athens-Meigs Educ Srv Ctr</v>
      </c>
      <c r="AM71" s="16" t="b">
        <f t="shared" si="2"/>
        <v>1</v>
      </c>
      <c r="AO71" s="3" t="str">
        <f t="shared" si="3"/>
        <v>Athens</v>
      </c>
      <c r="AP71" s="3" t="str">
        <f>'St of Act-Exp'!C71</f>
        <v>Athens</v>
      </c>
      <c r="AQ71" s="16" t="b">
        <f t="shared" si="4"/>
        <v>1</v>
      </c>
    </row>
    <row r="72" spans="1:43" s="72" customFormat="1" hidden="1">
      <c r="A72" s="65" t="s">
        <v>416</v>
      </c>
      <c r="B72" s="65"/>
      <c r="C72" s="65" t="s">
        <v>273</v>
      </c>
      <c r="E72" s="66"/>
      <c r="G72" s="65"/>
      <c r="H72" s="65"/>
      <c r="I72" s="65"/>
      <c r="J72" s="65"/>
      <c r="K72" s="70">
        <f>+M72-I72-G72</f>
        <v>0</v>
      </c>
      <c r="L72" s="65"/>
      <c r="M72" s="65"/>
      <c r="N72" s="65"/>
      <c r="O72" s="70">
        <f>+S72-Q72</f>
        <v>0</v>
      </c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73">
        <f t="shared" si="8"/>
        <v>0</v>
      </c>
      <c r="AF72" s="66"/>
      <c r="AG72" s="65">
        <f t="shared" si="0"/>
        <v>0</v>
      </c>
      <c r="AJ72" s="66" t="s">
        <v>404</v>
      </c>
      <c r="AK72" s="65" t="str">
        <f t="shared" si="1"/>
        <v>Auglaize County Educ Srv Ctr (CASH)</v>
      </c>
      <c r="AL72" s="65" t="str">
        <f>'St of Act-Exp'!A72</f>
        <v>Auglaize County Educ Srv Ctr (CASH)</v>
      </c>
      <c r="AM72" s="66" t="b">
        <f t="shared" si="2"/>
        <v>1</v>
      </c>
      <c r="AO72" s="65" t="str">
        <f t="shared" si="3"/>
        <v>Auglaize</v>
      </c>
      <c r="AP72" s="65" t="str">
        <f>'St of Act-Exp'!C72</f>
        <v>Auglaize</v>
      </c>
      <c r="AQ72" s="66" t="b">
        <f t="shared" si="4"/>
        <v>1</v>
      </c>
    </row>
    <row r="73" spans="1:43">
      <c r="A73" s="16" t="s">
        <v>322</v>
      </c>
      <c r="B73" s="16"/>
      <c r="C73" s="16" t="s">
        <v>153</v>
      </c>
      <c r="E73" s="16">
        <v>46029</v>
      </c>
      <c r="G73" s="3">
        <v>2143905</v>
      </c>
      <c r="H73" s="3"/>
      <c r="I73" s="3">
        <v>0</v>
      </c>
      <c r="J73" s="3"/>
      <c r="K73" s="8">
        <f>+M73-I73-G73</f>
        <v>128697</v>
      </c>
      <c r="L73" s="3"/>
      <c r="M73" s="3">
        <v>2272602</v>
      </c>
      <c r="N73" s="3"/>
      <c r="O73" s="8">
        <f>+S73-Q73</f>
        <v>490313</v>
      </c>
      <c r="P73" s="3"/>
      <c r="Q73" s="3">
        <v>250</v>
      </c>
      <c r="R73" s="3"/>
      <c r="S73" s="3">
        <v>490563</v>
      </c>
      <c r="T73" s="3"/>
      <c r="U73" s="3">
        <v>96064</v>
      </c>
      <c r="V73" s="3"/>
      <c r="W73" s="3">
        <v>0</v>
      </c>
      <c r="X73" s="3"/>
      <c r="Y73" s="3">
        <v>15338</v>
      </c>
      <c r="Z73" s="3"/>
      <c r="AA73" s="3">
        <v>41609</v>
      </c>
      <c r="AB73" s="3"/>
      <c r="AC73" s="3">
        <v>1628998</v>
      </c>
      <c r="AD73" s="3"/>
      <c r="AE73" s="27">
        <f t="shared" si="8"/>
        <v>1782009</v>
      </c>
      <c r="AF73" s="16"/>
      <c r="AG73" s="95">
        <f t="shared" si="0"/>
        <v>30</v>
      </c>
      <c r="AJ73" s="3" t="s">
        <v>405</v>
      </c>
      <c r="AK73" s="3" t="str">
        <f t="shared" si="1"/>
        <v>Brown County Educ Srv Ctr</v>
      </c>
      <c r="AL73" s="3" t="str">
        <f>'St of Act-Exp'!A73</f>
        <v>Brown County Educ Srv Ctr</v>
      </c>
      <c r="AM73" s="16" t="b">
        <f t="shared" si="2"/>
        <v>1</v>
      </c>
      <c r="AO73" s="3" t="str">
        <f t="shared" si="3"/>
        <v>Brown</v>
      </c>
      <c r="AP73" s="3" t="str">
        <f>'St of Act-Exp'!C73</f>
        <v>Brown</v>
      </c>
      <c r="AQ73" s="16" t="b">
        <f t="shared" si="4"/>
        <v>1</v>
      </c>
    </row>
    <row r="74" spans="1:43">
      <c r="A74" s="16" t="s">
        <v>323</v>
      </c>
      <c r="B74" s="16"/>
      <c r="C74" s="16" t="s">
        <v>150</v>
      </c>
      <c r="E74" s="16">
        <v>46086</v>
      </c>
      <c r="G74" s="3">
        <v>1054053</v>
      </c>
      <c r="H74" s="3"/>
      <c r="I74" s="3">
        <v>0</v>
      </c>
      <c r="J74" s="3"/>
      <c r="K74" s="8">
        <f t="shared" ref="K74:K130" si="9">+M74-I74-G74</f>
        <v>88555</v>
      </c>
      <c r="L74" s="3"/>
      <c r="M74" s="3">
        <v>1142608</v>
      </c>
      <c r="N74" s="3"/>
      <c r="O74" s="8">
        <f t="shared" ref="O74:O130" si="10">+S74-Q74</f>
        <v>580492</v>
      </c>
      <c r="P74" s="3"/>
      <c r="Q74" s="3">
        <v>4518</v>
      </c>
      <c r="R74" s="3"/>
      <c r="S74" s="3">
        <v>585010</v>
      </c>
      <c r="T74" s="3"/>
      <c r="U74" s="3">
        <v>0</v>
      </c>
      <c r="V74" s="3"/>
      <c r="W74" s="3">
        <v>0</v>
      </c>
      <c r="X74" s="3"/>
      <c r="Y74" s="3">
        <v>0</v>
      </c>
      <c r="Z74" s="3"/>
      <c r="AA74" s="3">
        <v>243250</v>
      </c>
      <c r="AB74" s="3"/>
      <c r="AC74" s="3">
        <v>314348</v>
      </c>
      <c r="AD74" s="3"/>
      <c r="AE74" s="27">
        <f t="shared" si="8"/>
        <v>557598</v>
      </c>
      <c r="AF74" s="16"/>
      <c r="AG74" s="3">
        <f t="shared" si="0"/>
        <v>0</v>
      </c>
      <c r="AJ74" s="3"/>
      <c r="AK74" s="3" t="str">
        <f t="shared" si="1"/>
        <v>Butler County Educ Srv Ctr</v>
      </c>
      <c r="AL74" s="3" t="str">
        <f>'St of Act-Exp'!A74</f>
        <v>Butler County Educ Srv Ctr</v>
      </c>
      <c r="AM74" s="16" t="b">
        <f t="shared" si="2"/>
        <v>1</v>
      </c>
      <c r="AO74" s="3" t="str">
        <f t="shared" si="3"/>
        <v>Butler</v>
      </c>
      <c r="AP74" s="3" t="str">
        <f>'St of Act-Exp'!C74</f>
        <v>Butler</v>
      </c>
      <c r="AQ74" s="16" t="b">
        <f t="shared" si="4"/>
        <v>1</v>
      </c>
    </row>
    <row r="75" spans="1:43">
      <c r="A75" s="16" t="s">
        <v>324</v>
      </c>
      <c r="B75" s="16"/>
      <c r="C75" s="16" t="s">
        <v>155</v>
      </c>
      <c r="E75" s="16">
        <v>46227</v>
      </c>
      <c r="G75" s="3">
        <v>1615533</v>
      </c>
      <c r="H75" s="3"/>
      <c r="I75" s="3">
        <v>429771</v>
      </c>
      <c r="J75" s="3"/>
      <c r="K75" s="8">
        <f t="shared" si="9"/>
        <v>266797</v>
      </c>
      <c r="L75" s="3"/>
      <c r="M75" s="3">
        <v>2312101</v>
      </c>
      <c r="N75" s="3"/>
      <c r="O75" s="8">
        <f t="shared" si="10"/>
        <v>688329</v>
      </c>
      <c r="P75" s="3"/>
      <c r="Q75" s="3">
        <v>0</v>
      </c>
      <c r="R75" s="3"/>
      <c r="S75" s="3">
        <v>688329</v>
      </c>
      <c r="T75" s="3"/>
      <c r="U75" s="3">
        <v>0</v>
      </c>
      <c r="V75" s="3"/>
      <c r="W75" s="3">
        <f>75580+429771</f>
        <v>505351</v>
      </c>
      <c r="X75" s="3"/>
      <c r="Y75" s="3">
        <v>0</v>
      </c>
      <c r="Z75" s="3"/>
      <c r="AA75" s="3">
        <f>325000+44439</f>
        <v>369439</v>
      </c>
      <c r="AB75" s="3"/>
      <c r="AC75" s="3">
        <v>748982</v>
      </c>
      <c r="AD75" s="3"/>
      <c r="AE75" s="27">
        <f t="shared" si="8"/>
        <v>1623772</v>
      </c>
      <c r="AF75" s="16"/>
      <c r="AG75" s="3">
        <f t="shared" si="0"/>
        <v>0</v>
      </c>
      <c r="AJ75" s="3"/>
      <c r="AK75" s="3" t="str">
        <f t="shared" si="1"/>
        <v>Clark County Educ Srv Ctr</v>
      </c>
      <c r="AL75" s="3" t="str">
        <f>'St of Act-Exp'!A75</f>
        <v>Clark County Educ Srv Ctr</v>
      </c>
      <c r="AM75" s="16" t="b">
        <f t="shared" si="2"/>
        <v>1</v>
      </c>
      <c r="AO75" s="3" t="str">
        <f t="shared" si="3"/>
        <v>Clark</v>
      </c>
      <c r="AP75" s="3" t="str">
        <f>'St of Act-Exp'!C75</f>
        <v>Clark</v>
      </c>
      <c r="AQ75" s="16" t="b">
        <f t="shared" si="4"/>
        <v>1</v>
      </c>
    </row>
    <row r="76" spans="1:43">
      <c r="A76" s="3" t="s">
        <v>156</v>
      </c>
      <c r="B76" s="16"/>
      <c r="C76" s="16" t="s">
        <v>157</v>
      </c>
      <c r="E76" s="16">
        <v>46292</v>
      </c>
      <c r="G76" s="3">
        <v>5469619</v>
      </c>
      <c r="H76" s="3"/>
      <c r="I76" s="3">
        <v>0</v>
      </c>
      <c r="J76" s="3"/>
      <c r="K76" s="8">
        <f t="shared" si="9"/>
        <v>1497327</v>
      </c>
      <c r="L76" s="3"/>
      <c r="M76" s="3">
        <v>6966946</v>
      </c>
      <c r="N76" s="3"/>
      <c r="O76" s="8">
        <f t="shared" si="10"/>
        <v>2348565</v>
      </c>
      <c r="P76" s="3"/>
      <c r="Q76" s="3">
        <v>0</v>
      </c>
      <c r="R76" s="3"/>
      <c r="S76" s="3">
        <v>2348565</v>
      </c>
      <c r="T76" s="3"/>
      <c r="U76" s="3">
        <v>0</v>
      </c>
      <c r="V76" s="3"/>
      <c r="W76" s="3">
        <v>0</v>
      </c>
      <c r="X76" s="3"/>
      <c r="Y76" s="3">
        <v>0</v>
      </c>
      <c r="Z76" s="3"/>
      <c r="AA76" s="3">
        <v>45963</v>
      </c>
      <c r="AB76" s="3"/>
      <c r="AC76" s="3">
        <v>4572418</v>
      </c>
      <c r="AD76" s="3"/>
      <c r="AE76" s="27">
        <f t="shared" si="8"/>
        <v>4618381</v>
      </c>
      <c r="AF76" s="16"/>
      <c r="AG76" s="3">
        <f t="shared" si="0"/>
        <v>0</v>
      </c>
      <c r="AJ76" s="3" t="s">
        <v>425</v>
      </c>
      <c r="AK76" s="3" t="str">
        <f t="shared" si="1"/>
        <v>Clermont County Educ Srv Ctr</v>
      </c>
      <c r="AL76" s="3" t="str">
        <f>'St of Act-Exp'!A76</f>
        <v>Clermont County Educ Srv Ctr</v>
      </c>
      <c r="AM76" s="16" t="b">
        <f t="shared" si="2"/>
        <v>1</v>
      </c>
      <c r="AO76" s="3" t="str">
        <f t="shared" si="3"/>
        <v>Clermont</v>
      </c>
      <c r="AP76" s="3" t="str">
        <f>'St of Act-Exp'!C76</f>
        <v>Clermont</v>
      </c>
      <c r="AQ76" s="16" t="b">
        <f t="shared" si="4"/>
        <v>1</v>
      </c>
    </row>
    <row r="77" spans="1:43" s="72" customFormat="1" hidden="1">
      <c r="A77" s="66" t="s">
        <v>294</v>
      </c>
      <c r="B77" s="66"/>
      <c r="C77" s="66" t="s">
        <v>158</v>
      </c>
      <c r="E77" s="66">
        <v>46375</v>
      </c>
      <c r="G77" s="65"/>
      <c r="H77" s="65"/>
      <c r="I77" s="65"/>
      <c r="J77" s="65"/>
      <c r="K77" s="70">
        <f t="shared" si="9"/>
        <v>0</v>
      </c>
      <c r="L77" s="65"/>
      <c r="M77" s="65"/>
      <c r="N77" s="65"/>
      <c r="O77" s="70">
        <f t="shared" si="10"/>
        <v>0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73">
        <f t="shared" si="8"/>
        <v>0</v>
      </c>
      <c r="AF77" s="66"/>
      <c r="AG77" s="65">
        <f t="shared" si="0"/>
        <v>0</v>
      </c>
      <c r="AJ77" s="66" t="s">
        <v>314</v>
      </c>
      <c r="AK77" s="65" t="str">
        <f t="shared" si="1"/>
        <v>Clinton Fayette Highland Educ-now Southern Ohio ESC</v>
      </c>
      <c r="AL77" s="65" t="str">
        <f>'St of Act-Exp'!A77</f>
        <v>Clinton Fayette Highland Educ-now Southern Ohio ESC</v>
      </c>
      <c r="AM77" s="66" t="b">
        <f t="shared" si="2"/>
        <v>1</v>
      </c>
      <c r="AO77" s="65" t="str">
        <f t="shared" si="3"/>
        <v>Clinton</v>
      </c>
      <c r="AP77" s="65" t="str">
        <f>'St of Act-Exp'!C77</f>
        <v>Clinton</v>
      </c>
      <c r="AQ77" s="66" t="b">
        <f t="shared" si="4"/>
        <v>1</v>
      </c>
    </row>
    <row r="78" spans="1:43">
      <c r="A78" s="16" t="s">
        <v>345</v>
      </c>
      <c r="B78" s="16"/>
      <c r="C78" s="16" t="s">
        <v>159</v>
      </c>
      <c r="E78" s="16">
        <v>46417</v>
      </c>
      <c r="G78" s="3">
        <f>1228007+6345</f>
        <v>1234352</v>
      </c>
      <c r="H78" s="3"/>
      <c r="I78" s="3">
        <v>0</v>
      </c>
      <c r="J78" s="3"/>
      <c r="K78" s="8">
        <f t="shared" si="9"/>
        <v>516441</v>
      </c>
      <c r="L78" s="3"/>
      <c r="M78" s="3">
        <v>1750793</v>
      </c>
      <c r="N78" s="3"/>
      <c r="O78" s="8">
        <f t="shared" si="10"/>
        <v>976590</v>
      </c>
      <c r="P78" s="3"/>
      <c r="Q78" s="3">
        <f>129999+8525</f>
        <v>138524</v>
      </c>
      <c r="R78" s="3"/>
      <c r="S78" s="3">
        <v>1115114</v>
      </c>
      <c r="T78" s="3"/>
      <c r="U78" s="3">
        <f>1203+3135</f>
        <v>4338</v>
      </c>
      <c r="V78" s="3"/>
      <c r="W78" s="3">
        <v>0</v>
      </c>
      <c r="X78" s="3"/>
      <c r="Y78" s="3">
        <v>56359</v>
      </c>
      <c r="Z78" s="3"/>
      <c r="AA78" s="3">
        <f>3789+61133+894</f>
        <v>65816</v>
      </c>
      <c r="AB78" s="3"/>
      <c r="AC78" s="3">
        <v>509166</v>
      </c>
      <c r="AD78" s="3"/>
      <c r="AE78" s="27">
        <f t="shared" si="8"/>
        <v>635679</v>
      </c>
      <c r="AF78" s="16"/>
      <c r="AG78" s="3">
        <f t="shared" si="0"/>
        <v>0</v>
      </c>
      <c r="AJ78" s="3"/>
      <c r="AK78" s="3" t="str">
        <f t="shared" si="1"/>
        <v>Columbiana County Educ Srv Ctr</v>
      </c>
      <c r="AL78" s="3" t="str">
        <f>'St of Act-Exp'!A78</f>
        <v>Columbiana County Educ Srv Ctr</v>
      </c>
      <c r="AM78" s="16" t="b">
        <f t="shared" si="2"/>
        <v>1</v>
      </c>
      <c r="AO78" s="3" t="str">
        <f t="shared" si="3"/>
        <v>Columbiana</v>
      </c>
      <c r="AP78" s="3" t="str">
        <f>'St of Act-Exp'!C78</f>
        <v>Columbiana</v>
      </c>
      <c r="AQ78" s="16" t="b">
        <f t="shared" si="4"/>
        <v>1</v>
      </c>
    </row>
    <row r="79" spans="1:43">
      <c r="A79" s="3" t="s">
        <v>347</v>
      </c>
      <c r="B79" s="16"/>
      <c r="C79" s="16" t="s">
        <v>160</v>
      </c>
      <c r="E79" s="16">
        <v>46532</v>
      </c>
      <c r="G79" s="3">
        <v>20625477</v>
      </c>
      <c r="H79" s="3"/>
      <c r="I79" s="3">
        <v>70923</v>
      </c>
      <c r="J79" s="3"/>
      <c r="K79" s="8">
        <f t="shared" si="9"/>
        <v>8871369</v>
      </c>
      <c r="L79" s="3"/>
      <c r="M79" s="3">
        <v>29567769</v>
      </c>
      <c r="N79" s="3"/>
      <c r="O79" s="8">
        <f t="shared" si="10"/>
        <v>5568983</v>
      </c>
      <c r="P79" s="3"/>
      <c r="Q79" s="3">
        <v>222586</v>
      </c>
      <c r="R79" s="3"/>
      <c r="S79" s="3">
        <v>5791569</v>
      </c>
      <c r="T79" s="3"/>
      <c r="U79" s="3">
        <v>70923</v>
      </c>
      <c r="V79" s="3"/>
      <c r="W79" s="3">
        <v>0</v>
      </c>
      <c r="X79" s="3"/>
      <c r="Y79" s="3">
        <v>0</v>
      </c>
      <c r="Z79" s="3"/>
      <c r="AA79" s="3">
        <v>3388231</v>
      </c>
      <c r="AB79" s="3"/>
      <c r="AC79" s="3">
        <v>20317046</v>
      </c>
      <c r="AD79" s="3"/>
      <c r="AE79" s="27">
        <f t="shared" si="8"/>
        <v>23776200</v>
      </c>
      <c r="AF79" s="16"/>
      <c r="AG79" s="3">
        <f t="shared" si="0"/>
        <v>0</v>
      </c>
      <c r="AJ79" s="16" t="s">
        <v>315</v>
      </c>
      <c r="AK79" s="3" t="str">
        <f t="shared" si="1"/>
        <v>Cuyahoga Educ Srv Ctr-now Educ Srv Ctr of Cuyahoga County</v>
      </c>
      <c r="AL79" s="3" t="str">
        <f>'St of Act-Exp'!A79</f>
        <v>Cuyahoga Educ Srv Ctr-now Educ Srv Ctr of Cuyahoga County</v>
      </c>
      <c r="AM79" s="16" t="b">
        <f t="shared" si="2"/>
        <v>1</v>
      </c>
      <c r="AO79" s="3" t="str">
        <f t="shared" ref="AO79:AO130" si="11">C79</f>
        <v>Cuyahoga</v>
      </c>
      <c r="AP79" s="3" t="str">
        <f>'St of Act-Exp'!C79</f>
        <v>Cuyahoga</v>
      </c>
      <c r="AQ79" s="16" t="b">
        <f t="shared" ref="AQ79:AQ130" si="12">C79=AP79</f>
        <v>1</v>
      </c>
    </row>
    <row r="80" spans="1:43" s="72" customFormat="1" hidden="1">
      <c r="A80" s="65" t="s">
        <v>376</v>
      </c>
      <c r="B80" s="66"/>
      <c r="C80" s="66" t="s">
        <v>161</v>
      </c>
      <c r="E80" s="66"/>
      <c r="G80" s="65"/>
      <c r="H80" s="65"/>
      <c r="I80" s="65"/>
      <c r="J80" s="65"/>
      <c r="K80" s="70">
        <f>+M80-I80-G80</f>
        <v>0</v>
      </c>
      <c r="L80" s="65"/>
      <c r="M80" s="65"/>
      <c r="N80" s="65"/>
      <c r="O80" s="70">
        <f>+S80-Q80</f>
        <v>0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73">
        <f t="shared" si="8"/>
        <v>0</v>
      </c>
      <c r="AF80" s="66"/>
      <c r="AG80" s="65">
        <f t="shared" ref="AG80:AG130" si="13">+G80+I80+K80-O80-Q80-AA80-Y80-U80-W80-AC80</f>
        <v>0</v>
      </c>
      <c r="AJ80" s="66" t="s">
        <v>377</v>
      </c>
      <c r="AK80" s="65" t="str">
        <f t="shared" ref="AK80:AK130" si="14">A80</f>
        <v>Darke County Educ Srv Ctr (CASH)</v>
      </c>
      <c r="AL80" s="65" t="str">
        <f>'St of Act-Exp'!A80</f>
        <v>Darke County Educ Srv Ctr (CASH)</v>
      </c>
      <c r="AM80" s="66" t="b">
        <f t="shared" ref="AM80:AM130" si="15">AK80=AL80</f>
        <v>1</v>
      </c>
      <c r="AO80" s="65" t="str">
        <f t="shared" si="11"/>
        <v>Darke</v>
      </c>
      <c r="AP80" s="65" t="str">
        <f>'St of Act-Exp'!C80</f>
        <v>Darke</v>
      </c>
      <c r="AQ80" s="66" t="b">
        <f t="shared" si="12"/>
        <v>1</v>
      </c>
    </row>
    <row r="81" spans="1:43" s="72" customFormat="1" hidden="1">
      <c r="A81" s="65" t="s">
        <v>346</v>
      </c>
      <c r="B81" s="66"/>
      <c r="C81" s="66" t="s">
        <v>162</v>
      </c>
      <c r="E81" s="66">
        <v>46730</v>
      </c>
      <c r="G81" s="65"/>
      <c r="H81" s="65"/>
      <c r="I81" s="65"/>
      <c r="J81" s="65"/>
      <c r="K81" s="70">
        <f t="shared" si="9"/>
        <v>0</v>
      </c>
      <c r="L81" s="65"/>
      <c r="M81" s="65"/>
      <c r="N81" s="65"/>
      <c r="O81" s="70">
        <f t="shared" si="10"/>
        <v>0</v>
      </c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73">
        <f t="shared" si="8"/>
        <v>0</v>
      </c>
      <c r="AF81" s="66"/>
      <c r="AG81" s="65">
        <f t="shared" si="13"/>
        <v>0</v>
      </c>
      <c r="AJ81" s="66" t="s">
        <v>316</v>
      </c>
      <c r="AK81" s="65" t="str">
        <f t="shared" si="14"/>
        <v>Delaware-Union Educ Srv Ctr - see note to right</v>
      </c>
      <c r="AL81" s="65" t="str">
        <f>'St of Act-Exp'!A81</f>
        <v>Delaware-Union Educ Srv Ctr - see note to right</v>
      </c>
      <c r="AM81" s="66" t="b">
        <f t="shared" si="15"/>
        <v>1</v>
      </c>
      <c r="AO81" s="65" t="str">
        <f t="shared" si="11"/>
        <v>Delaware</v>
      </c>
      <c r="AP81" s="65" t="str">
        <f>'St of Act-Exp'!C81</f>
        <v>Delaware</v>
      </c>
      <c r="AQ81" s="66" t="b">
        <f t="shared" si="12"/>
        <v>1</v>
      </c>
    </row>
    <row r="82" spans="1:43">
      <c r="A82" s="3" t="s">
        <v>344</v>
      </c>
      <c r="B82" s="16"/>
      <c r="C82" s="3" t="s">
        <v>202</v>
      </c>
      <c r="E82" s="16"/>
      <c r="G82" s="3">
        <v>1684461</v>
      </c>
      <c r="H82" s="3"/>
      <c r="I82" s="3">
        <v>0</v>
      </c>
      <c r="J82" s="3"/>
      <c r="K82" s="8">
        <f t="shared" si="9"/>
        <v>309717</v>
      </c>
      <c r="L82" s="3"/>
      <c r="M82" s="3">
        <v>1994178</v>
      </c>
      <c r="N82" s="3"/>
      <c r="O82" s="8">
        <f t="shared" si="10"/>
        <v>865017</v>
      </c>
      <c r="P82" s="3"/>
      <c r="Q82" s="3">
        <v>119476</v>
      </c>
      <c r="R82" s="3"/>
      <c r="S82" s="3">
        <v>984493</v>
      </c>
      <c r="T82" s="3"/>
      <c r="U82" s="3">
        <v>0</v>
      </c>
      <c r="V82" s="3"/>
      <c r="W82" s="3">
        <v>0</v>
      </c>
      <c r="X82" s="3"/>
      <c r="Y82" s="3">
        <v>0</v>
      </c>
      <c r="Z82" s="3"/>
      <c r="AA82" s="3">
        <v>0</v>
      </c>
      <c r="AB82" s="3"/>
      <c r="AC82" s="3">
        <v>1009685</v>
      </c>
      <c r="AD82" s="3"/>
      <c r="AE82" s="27">
        <f t="shared" si="8"/>
        <v>1009685</v>
      </c>
      <c r="AF82" s="16"/>
      <c r="AG82" s="3">
        <f t="shared" si="13"/>
        <v>0</v>
      </c>
      <c r="AJ82" s="16" t="s">
        <v>317</v>
      </c>
      <c r="AK82" s="3" t="str">
        <f t="shared" ref="AK82" si="16">A82</f>
        <v>East Central Ohio Educ Srv Ctr</v>
      </c>
      <c r="AL82" s="3" t="str">
        <f>'St of Act-Exp'!A82</f>
        <v>East Central Ohio Educ Srv Ctr</v>
      </c>
      <c r="AM82" s="16" t="b">
        <f t="shared" ref="AM82" si="17">AK82=AL82</f>
        <v>1</v>
      </c>
      <c r="AO82" s="3" t="str">
        <f t="shared" si="11"/>
        <v>Tuscarawas</v>
      </c>
      <c r="AP82" s="3" t="str">
        <f>'St of Act-Exp'!C82</f>
        <v>Tuscarawas</v>
      </c>
      <c r="AQ82" s="16" t="b">
        <f t="shared" si="12"/>
        <v>1</v>
      </c>
    </row>
    <row r="83" spans="1:43">
      <c r="A83" s="3" t="s">
        <v>382</v>
      </c>
      <c r="B83" s="16"/>
      <c r="C83" s="16" t="s">
        <v>165</v>
      </c>
      <c r="E83" s="16">
        <v>46938</v>
      </c>
      <c r="G83" s="3">
        <v>11964525</v>
      </c>
      <c r="H83" s="3"/>
      <c r="I83" s="3">
        <v>0</v>
      </c>
      <c r="J83" s="3"/>
      <c r="K83" s="8">
        <f>+M83-I83-G83</f>
        <v>6938346</v>
      </c>
      <c r="L83" s="3"/>
      <c r="M83" s="3">
        <v>18902871</v>
      </c>
      <c r="N83" s="3"/>
      <c r="O83" s="8">
        <f>+S83-Q83</f>
        <v>4093710</v>
      </c>
      <c r="P83" s="3"/>
      <c r="Q83" s="3">
        <f>969739+1532260</f>
        <v>2501999</v>
      </c>
      <c r="R83" s="3"/>
      <c r="S83" s="3">
        <v>6595709</v>
      </c>
      <c r="T83" s="3"/>
      <c r="U83" s="3">
        <f>68187+4889</f>
        <v>73076</v>
      </c>
      <c r="V83" s="3"/>
      <c r="W83" s="3">
        <v>0</v>
      </c>
      <c r="X83" s="3"/>
      <c r="Y83" s="3">
        <v>0</v>
      </c>
      <c r="Z83" s="3"/>
      <c r="AA83" s="3">
        <f>65297+829975</f>
        <v>895272</v>
      </c>
      <c r="AB83" s="3"/>
      <c r="AC83" s="3">
        <v>11338814</v>
      </c>
      <c r="AD83" s="3"/>
      <c r="AE83" s="27">
        <f>SUM(U83:AC83)</f>
        <v>12307162</v>
      </c>
      <c r="AF83" s="16"/>
      <c r="AG83" s="3">
        <f>+G83+I83+K83-O83-Q83-AA83-Y83-U83-W83-AC83</f>
        <v>0</v>
      </c>
      <c r="AJ83" s="16" t="s">
        <v>319</v>
      </c>
      <c r="AK83" s="3" t="str">
        <f>A83</f>
        <v>Educational Service Center of Central Ohio</v>
      </c>
      <c r="AL83" s="3" t="str">
        <f>'St of Act-Exp'!A83</f>
        <v>Educational Service Center of Central Ohio</v>
      </c>
      <c r="AM83" s="16" t="b">
        <f>AK83=AL83</f>
        <v>1</v>
      </c>
      <c r="AO83" s="3" t="str">
        <f>C83</f>
        <v>Franklin</v>
      </c>
      <c r="AP83" s="3" t="str">
        <f>'St of Act-Exp'!C83</f>
        <v>Franklin</v>
      </c>
      <c r="AQ83" s="16" t="b">
        <f>C83=AP83</f>
        <v>1</v>
      </c>
    </row>
    <row r="84" spans="1:43" s="72" customFormat="1" hidden="1">
      <c r="A84" s="66" t="s">
        <v>292</v>
      </c>
      <c r="B84" s="66"/>
      <c r="C84" s="66" t="s">
        <v>163</v>
      </c>
      <c r="E84" s="66">
        <v>125690</v>
      </c>
      <c r="G84" s="65"/>
      <c r="H84" s="65"/>
      <c r="I84" s="65"/>
      <c r="J84" s="65"/>
      <c r="K84" s="70">
        <f t="shared" si="9"/>
        <v>0</v>
      </c>
      <c r="L84" s="65"/>
      <c r="M84" s="65"/>
      <c r="N84" s="65"/>
      <c r="O84" s="70">
        <f t="shared" si="10"/>
        <v>0</v>
      </c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73">
        <f t="shared" si="8"/>
        <v>0</v>
      </c>
      <c r="AF84" s="66"/>
      <c r="AG84" s="65">
        <f t="shared" si="13"/>
        <v>0</v>
      </c>
      <c r="AJ84" s="66" t="s">
        <v>318</v>
      </c>
      <c r="AK84" s="65" t="str">
        <f t="shared" si="14"/>
        <v>Erie-Huron-Ottawa Educ Srv Ctr-now North Point ESC</v>
      </c>
      <c r="AL84" s="65" t="str">
        <f>'St of Act-Exp'!A84</f>
        <v>Erie-Huron-Ottawa Educ Srv Ctr-now North Point ESC</v>
      </c>
      <c r="AM84" s="66" t="b">
        <f t="shared" si="15"/>
        <v>1</v>
      </c>
      <c r="AO84" s="65" t="str">
        <f t="shared" si="11"/>
        <v>Erie</v>
      </c>
      <c r="AP84" s="65" t="str">
        <f>'St of Act-Exp'!C84</f>
        <v>Erie</v>
      </c>
      <c r="AQ84" s="66" t="b">
        <f t="shared" si="12"/>
        <v>1</v>
      </c>
    </row>
    <row r="85" spans="1:43">
      <c r="A85" s="3" t="s">
        <v>385</v>
      </c>
      <c r="B85" s="16"/>
      <c r="C85" s="16" t="s">
        <v>164</v>
      </c>
      <c r="E85" s="16">
        <v>46839</v>
      </c>
      <c r="G85" s="3">
        <v>1681830</v>
      </c>
      <c r="H85" s="3"/>
      <c r="I85" s="3">
        <v>0</v>
      </c>
      <c r="J85" s="3"/>
      <c r="K85" s="8">
        <f t="shared" si="9"/>
        <v>561344</v>
      </c>
      <c r="L85" s="3"/>
      <c r="M85" s="3">
        <v>2243174</v>
      </c>
      <c r="N85" s="3"/>
      <c r="O85" s="8">
        <f t="shared" si="10"/>
        <v>1097476</v>
      </c>
      <c r="P85" s="3"/>
      <c r="Q85" s="3">
        <v>0</v>
      </c>
      <c r="R85" s="3"/>
      <c r="S85" s="3">
        <v>1097476</v>
      </c>
      <c r="T85" s="3"/>
      <c r="U85" s="3">
        <v>7951</v>
      </c>
      <c r="V85" s="3"/>
      <c r="W85" s="3">
        <v>0</v>
      </c>
      <c r="X85" s="3"/>
      <c r="Y85" s="3">
        <v>0</v>
      </c>
      <c r="Z85" s="3"/>
      <c r="AA85" s="3">
        <v>17192</v>
      </c>
      <c r="AB85" s="3"/>
      <c r="AC85" s="3">
        <v>1120555</v>
      </c>
      <c r="AD85" s="3"/>
      <c r="AE85" s="27">
        <f t="shared" si="8"/>
        <v>1145698</v>
      </c>
      <c r="AF85" s="16"/>
      <c r="AG85" s="3">
        <f t="shared" si="13"/>
        <v>0</v>
      </c>
      <c r="AJ85" s="16"/>
      <c r="AK85" s="3" t="str">
        <f t="shared" si="14"/>
        <v>Fairfield County Educ Srv Ctr</v>
      </c>
      <c r="AL85" s="3" t="str">
        <f>'St of Act-Exp'!A85</f>
        <v>Fairfield County Educ Srv Ctr</v>
      </c>
      <c r="AM85" s="16" t="b">
        <f t="shared" si="15"/>
        <v>1</v>
      </c>
      <c r="AO85" s="3" t="str">
        <f t="shared" si="11"/>
        <v>Fairfield</v>
      </c>
      <c r="AP85" s="3" t="str">
        <f>'St of Act-Exp'!C85</f>
        <v>Fairfield</v>
      </c>
      <c r="AQ85" s="16" t="b">
        <f t="shared" si="12"/>
        <v>1</v>
      </c>
    </row>
    <row r="86" spans="1:43">
      <c r="A86" s="3" t="s">
        <v>167</v>
      </c>
      <c r="B86" s="16"/>
      <c r="C86" s="16" t="s">
        <v>168</v>
      </c>
      <c r="E86" s="16">
        <v>125682</v>
      </c>
      <c r="G86" s="3">
        <v>1097218</v>
      </c>
      <c r="H86" s="3"/>
      <c r="I86" s="3">
        <v>0</v>
      </c>
      <c r="J86" s="3"/>
      <c r="K86" s="8">
        <f t="shared" si="9"/>
        <v>15394</v>
      </c>
      <c r="L86" s="3"/>
      <c r="M86" s="3">
        <v>1112612</v>
      </c>
      <c r="N86" s="3"/>
      <c r="O86" s="8">
        <f t="shared" si="10"/>
        <v>52547</v>
      </c>
      <c r="P86" s="3"/>
      <c r="Q86" s="3">
        <v>0</v>
      </c>
      <c r="R86" s="3"/>
      <c r="S86" s="3">
        <v>52547</v>
      </c>
      <c r="T86" s="3"/>
      <c r="U86" s="3">
        <v>0</v>
      </c>
      <c r="V86" s="3"/>
      <c r="W86" s="3">
        <v>0</v>
      </c>
      <c r="X86" s="3"/>
      <c r="Y86" s="3">
        <v>0</v>
      </c>
      <c r="Z86" s="3"/>
      <c r="AA86" s="3">
        <v>0</v>
      </c>
      <c r="AB86" s="3"/>
      <c r="AC86" s="3">
        <v>1060065</v>
      </c>
      <c r="AD86" s="3"/>
      <c r="AE86" s="27">
        <f t="shared" si="8"/>
        <v>1060065</v>
      </c>
      <c r="AF86" s="16"/>
      <c r="AG86" s="3">
        <f t="shared" si="13"/>
        <v>0</v>
      </c>
      <c r="AJ86" s="3"/>
      <c r="AK86" s="3" t="str">
        <f t="shared" si="14"/>
        <v>Gallia-Vinton Educ Srv Ctr</v>
      </c>
      <c r="AL86" s="3" t="str">
        <f>'St of Act-Exp'!A86</f>
        <v>Gallia-Vinton Educ Srv Ctr</v>
      </c>
      <c r="AM86" s="16" t="b">
        <f t="shared" si="15"/>
        <v>1</v>
      </c>
      <c r="AO86" s="3" t="str">
        <f t="shared" si="11"/>
        <v>Gallia</v>
      </c>
      <c r="AP86" s="3" t="str">
        <f>'St of Act-Exp'!C86</f>
        <v>Gallia</v>
      </c>
      <c r="AQ86" s="16" t="b">
        <f t="shared" si="12"/>
        <v>1</v>
      </c>
    </row>
    <row r="87" spans="1:43">
      <c r="A87" s="88" t="s">
        <v>384</v>
      </c>
      <c r="B87" s="16"/>
      <c r="C87" s="16" t="s">
        <v>169</v>
      </c>
      <c r="E87" s="16">
        <v>47159</v>
      </c>
      <c r="G87" s="3">
        <v>2006786</v>
      </c>
      <c r="H87" s="3"/>
      <c r="I87" s="3">
        <v>0</v>
      </c>
      <c r="J87" s="3"/>
      <c r="K87" s="8">
        <f t="shared" si="9"/>
        <v>146599</v>
      </c>
      <c r="L87" s="3"/>
      <c r="M87" s="3">
        <v>2153385</v>
      </c>
      <c r="N87" s="3"/>
      <c r="O87" s="8">
        <f t="shared" si="10"/>
        <v>1081064</v>
      </c>
      <c r="P87" s="3"/>
      <c r="Q87" s="3">
        <v>0</v>
      </c>
      <c r="R87" s="3"/>
      <c r="S87" s="3">
        <v>1081064</v>
      </c>
      <c r="T87" s="3"/>
      <c r="U87" s="3">
        <v>0</v>
      </c>
      <c r="V87" s="3"/>
      <c r="W87" s="3">
        <v>0</v>
      </c>
      <c r="X87" s="3"/>
      <c r="Y87" s="3">
        <v>0</v>
      </c>
      <c r="Z87" s="3"/>
      <c r="AA87" s="3">
        <v>2324</v>
      </c>
      <c r="AB87" s="3"/>
      <c r="AC87" s="3">
        <v>1069997</v>
      </c>
      <c r="AD87" s="3"/>
      <c r="AE87" s="27">
        <f t="shared" si="8"/>
        <v>1072321</v>
      </c>
      <c r="AF87" s="16"/>
      <c r="AG87" s="3">
        <f t="shared" si="13"/>
        <v>0</v>
      </c>
      <c r="AJ87" s="89"/>
      <c r="AK87" s="3" t="str">
        <f t="shared" si="14"/>
        <v>Geauga County Educ Srv Ctr</v>
      </c>
      <c r="AL87" s="3" t="str">
        <f>'St of Act-Exp'!A87</f>
        <v>Geauga County Educ Srv Ctr</v>
      </c>
      <c r="AM87" s="16" t="b">
        <f t="shared" si="15"/>
        <v>1</v>
      </c>
      <c r="AO87" s="3" t="str">
        <f t="shared" si="11"/>
        <v>Geauga</v>
      </c>
      <c r="AP87" s="3" t="str">
        <f>'St of Act-Exp'!C87</f>
        <v>Geauga</v>
      </c>
      <c r="AQ87" s="16" t="b">
        <f t="shared" si="12"/>
        <v>1</v>
      </c>
    </row>
    <row r="88" spans="1:43">
      <c r="A88" s="16" t="s">
        <v>328</v>
      </c>
      <c r="B88" s="16"/>
      <c r="C88" s="16" t="s">
        <v>170</v>
      </c>
      <c r="E88" s="16">
        <v>47233</v>
      </c>
      <c r="G88" s="3">
        <v>3412983</v>
      </c>
      <c r="H88" s="3"/>
      <c r="I88" s="3">
        <v>0</v>
      </c>
      <c r="J88" s="3"/>
      <c r="K88" s="8">
        <f t="shared" si="9"/>
        <v>224736</v>
      </c>
      <c r="L88" s="3"/>
      <c r="M88" s="3">
        <v>3637719</v>
      </c>
      <c r="N88" s="3"/>
      <c r="O88" s="8">
        <f t="shared" si="10"/>
        <v>1867762</v>
      </c>
      <c r="P88" s="3"/>
      <c r="Q88" s="3">
        <v>5000</v>
      </c>
      <c r="R88" s="3"/>
      <c r="S88" s="3">
        <v>1872762</v>
      </c>
      <c r="T88" s="3"/>
      <c r="U88" s="3">
        <v>6184</v>
      </c>
      <c r="V88" s="3"/>
      <c r="W88" s="3">
        <v>0</v>
      </c>
      <c r="X88" s="3"/>
      <c r="Y88" s="3">
        <v>10750</v>
      </c>
      <c r="Z88" s="3"/>
      <c r="AA88" s="3">
        <v>47354</v>
      </c>
      <c r="AB88" s="3"/>
      <c r="AC88" s="3">
        <v>1700669</v>
      </c>
      <c r="AD88" s="3"/>
      <c r="AE88" s="27">
        <f t="shared" si="8"/>
        <v>1764957</v>
      </c>
      <c r="AF88" s="16"/>
      <c r="AG88" s="3">
        <f t="shared" si="13"/>
        <v>0</v>
      </c>
      <c r="AJ88" s="3"/>
      <c r="AK88" s="3" t="str">
        <f t="shared" si="14"/>
        <v>Greene County Educ Srv Ctr</v>
      </c>
      <c r="AL88" s="3" t="str">
        <f>'St of Act-Exp'!A88</f>
        <v>Greene County Educ Srv Ctr</v>
      </c>
      <c r="AM88" s="16" t="b">
        <f t="shared" si="15"/>
        <v>1</v>
      </c>
      <c r="AO88" s="3" t="str">
        <f t="shared" si="11"/>
        <v>Greene</v>
      </c>
      <c r="AP88" s="3" t="str">
        <f>'St of Act-Exp'!C88</f>
        <v>Greene</v>
      </c>
      <c r="AQ88" s="16" t="b">
        <f t="shared" si="12"/>
        <v>1</v>
      </c>
    </row>
    <row r="89" spans="1:43">
      <c r="A89" s="16" t="s">
        <v>329</v>
      </c>
      <c r="B89" s="16"/>
      <c r="C89" s="16" t="s">
        <v>171</v>
      </c>
      <c r="E89" s="16">
        <v>47324</v>
      </c>
      <c r="G89" s="3">
        <v>8356684</v>
      </c>
      <c r="H89" s="3"/>
      <c r="I89" s="3">
        <v>0</v>
      </c>
      <c r="J89" s="3"/>
      <c r="K89" s="8">
        <f t="shared" si="9"/>
        <v>2365088</v>
      </c>
      <c r="L89" s="3"/>
      <c r="M89" s="3">
        <v>10721772</v>
      </c>
      <c r="N89" s="3"/>
      <c r="O89" s="8">
        <f t="shared" si="10"/>
        <v>5514421</v>
      </c>
      <c r="P89" s="3"/>
      <c r="Q89" s="3">
        <v>215338</v>
      </c>
      <c r="R89" s="3"/>
      <c r="S89" s="3">
        <v>5729759</v>
      </c>
      <c r="T89" s="3"/>
      <c r="U89" s="3">
        <v>5335</v>
      </c>
      <c r="V89" s="3"/>
      <c r="W89" s="3">
        <v>0</v>
      </c>
      <c r="X89" s="3"/>
      <c r="Y89" s="3">
        <v>0</v>
      </c>
      <c r="Z89" s="3"/>
      <c r="AA89" s="3">
        <v>12941</v>
      </c>
      <c r="AB89" s="3"/>
      <c r="AC89" s="3">
        <v>4973737</v>
      </c>
      <c r="AD89" s="3"/>
      <c r="AE89" s="27">
        <f t="shared" si="8"/>
        <v>4992013</v>
      </c>
      <c r="AF89" s="16"/>
      <c r="AG89" s="3">
        <f t="shared" si="13"/>
        <v>0</v>
      </c>
      <c r="AJ89" s="3"/>
      <c r="AK89" s="3" t="str">
        <f t="shared" si="14"/>
        <v>Hamilton County Educ Srv Ctr</v>
      </c>
      <c r="AL89" s="3" t="str">
        <f>'St of Act-Exp'!A89</f>
        <v>Hamilton County Educ Srv Ctr</v>
      </c>
      <c r="AM89" s="16" t="b">
        <f t="shared" si="15"/>
        <v>1</v>
      </c>
      <c r="AO89" s="3" t="str">
        <f t="shared" si="11"/>
        <v>Hamilton</v>
      </c>
      <c r="AP89" s="3" t="str">
        <f>'St of Act-Exp'!C89</f>
        <v>Hamilton</v>
      </c>
      <c r="AQ89" s="16" t="b">
        <f t="shared" si="12"/>
        <v>1</v>
      </c>
    </row>
    <row r="90" spans="1:43">
      <c r="A90" s="16" t="s">
        <v>330</v>
      </c>
      <c r="B90" s="16"/>
      <c r="C90" s="16" t="s">
        <v>172</v>
      </c>
      <c r="E90" s="16">
        <v>47407</v>
      </c>
      <c r="G90" s="3">
        <v>947613</v>
      </c>
      <c r="H90" s="3"/>
      <c r="I90" s="3">
        <v>0</v>
      </c>
      <c r="J90" s="3"/>
      <c r="K90" s="8">
        <f t="shared" si="9"/>
        <v>36199</v>
      </c>
      <c r="L90" s="3"/>
      <c r="M90" s="3">
        <v>983812</v>
      </c>
      <c r="N90" s="3"/>
      <c r="O90" s="8">
        <f t="shared" si="10"/>
        <v>634043</v>
      </c>
      <c r="P90" s="3"/>
      <c r="Q90" s="3">
        <v>0</v>
      </c>
      <c r="R90" s="3"/>
      <c r="S90" s="3">
        <v>634043</v>
      </c>
      <c r="T90" s="3"/>
      <c r="U90" s="3">
        <v>3883</v>
      </c>
      <c r="V90" s="3"/>
      <c r="W90" s="3">
        <v>835</v>
      </c>
      <c r="X90" s="3"/>
      <c r="Y90" s="3">
        <v>0</v>
      </c>
      <c r="Z90" s="3"/>
      <c r="AA90" s="3">
        <v>17962</v>
      </c>
      <c r="AB90" s="3"/>
      <c r="AC90" s="3">
        <v>327089</v>
      </c>
      <c r="AD90" s="3"/>
      <c r="AE90" s="27">
        <f t="shared" si="8"/>
        <v>349769</v>
      </c>
      <c r="AF90" s="16"/>
      <c r="AG90" s="3">
        <f t="shared" si="13"/>
        <v>0</v>
      </c>
      <c r="AJ90" s="3"/>
      <c r="AK90" s="3" t="str">
        <f t="shared" si="14"/>
        <v>Hancock County Educ Srv Ctr</v>
      </c>
      <c r="AL90" s="3" t="str">
        <f>'St of Act-Exp'!A90</f>
        <v>Hancock County Educ Srv Ctr</v>
      </c>
      <c r="AM90" s="16" t="b">
        <f t="shared" si="15"/>
        <v>1</v>
      </c>
      <c r="AO90" s="3" t="str">
        <f t="shared" si="11"/>
        <v>Hancock</v>
      </c>
      <c r="AP90" s="3" t="str">
        <f>'St of Act-Exp'!C90</f>
        <v>Hancock</v>
      </c>
      <c r="AQ90" s="16" t="b">
        <f t="shared" si="12"/>
        <v>1</v>
      </c>
    </row>
    <row r="91" spans="1:43">
      <c r="A91" s="16" t="s">
        <v>331</v>
      </c>
      <c r="B91" s="16"/>
      <c r="C91" s="16" t="s">
        <v>21</v>
      </c>
      <c r="E91" s="16">
        <v>47480</v>
      </c>
      <c r="G91" s="3">
        <v>1012088</v>
      </c>
      <c r="H91" s="3"/>
      <c r="I91" s="3">
        <v>0</v>
      </c>
      <c r="J91" s="3"/>
      <c r="K91" s="8">
        <f t="shared" si="9"/>
        <v>478855</v>
      </c>
      <c r="L91" s="3"/>
      <c r="M91" s="3">
        <v>1490943</v>
      </c>
      <c r="N91" s="3"/>
      <c r="O91" s="8">
        <f t="shared" si="10"/>
        <v>372101</v>
      </c>
      <c r="P91" s="3"/>
      <c r="Q91" s="3">
        <v>251442</v>
      </c>
      <c r="R91" s="3"/>
      <c r="S91" s="3">
        <v>623543</v>
      </c>
      <c r="T91" s="3"/>
      <c r="U91" s="3">
        <v>0</v>
      </c>
      <c r="V91" s="3"/>
      <c r="W91" s="3">
        <v>0</v>
      </c>
      <c r="X91" s="3"/>
      <c r="Y91" s="3">
        <v>0</v>
      </c>
      <c r="Z91" s="3"/>
      <c r="AA91" s="3">
        <v>23899</v>
      </c>
      <c r="AB91" s="3"/>
      <c r="AC91" s="3">
        <v>843501</v>
      </c>
      <c r="AD91" s="3"/>
      <c r="AE91" s="27">
        <f t="shared" si="8"/>
        <v>867400</v>
      </c>
      <c r="AF91" s="16"/>
      <c r="AG91" s="3">
        <f t="shared" si="13"/>
        <v>0</v>
      </c>
      <c r="AJ91" s="3"/>
      <c r="AK91" s="3" t="str">
        <f t="shared" si="14"/>
        <v>Hardin County Educ Srv Ctr</v>
      </c>
      <c r="AL91" s="3" t="str">
        <f>'St of Act-Exp'!A91</f>
        <v>Hardin County Educ Srv Ctr</v>
      </c>
      <c r="AM91" s="16" t="b">
        <f t="shared" si="15"/>
        <v>1</v>
      </c>
      <c r="AO91" s="3" t="str">
        <f t="shared" si="11"/>
        <v>Hardin</v>
      </c>
      <c r="AP91" s="3" t="str">
        <f>'St of Act-Exp'!C91</f>
        <v>Hardin</v>
      </c>
      <c r="AQ91" s="16" t="b">
        <f t="shared" si="12"/>
        <v>1</v>
      </c>
    </row>
    <row r="92" spans="1:43">
      <c r="A92" s="16" t="s">
        <v>332</v>
      </c>
      <c r="B92" s="16"/>
      <c r="C92" s="16" t="s">
        <v>173</v>
      </c>
      <c r="E92" s="16">
        <v>47779</v>
      </c>
      <c r="G92" s="3">
        <v>3301397</v>
      </c>
      <c r="H92" s="3"/>
      <c r="I92" s="3">
        <v>0</v>
      </c>
      <c r="J92" s="3"/>
      <c r="K92" s="8">
        <f t="shared" si="9"/>
        <v>175924</v>
      </c>
      <c r="L92" s="3"/>
      <c r="M92" s="3">
        <v>3477321</v>
      </c>
      <c r="N92" s="3"/>
      <c r="O92" s="8">
        <f t="shared" si="10"/>
        <v>461435</v>
      </c>
      <c r="P92" s="3"/>
      <c r="Q92" s="3">
        <v>216</v>
      </c>
      <c r="R92" s="3"/>
      <c r="S92" s="3">
        <v>461651</v>
      </c>
      <c r="T92" s="3"/>
      <c r="U92" s="3">
        <f>2629+54195</f>
        <v>56824</v>
      </c>
      <c r="V92" s="3"/>
      <c r="W92" s="3">
        <v>0</v>
      </c>
      <c r="X92" s="3"/>
      <c r="Y92" s="3">
        <v>0</v>
      </c>
      <c r="Z92" s="3"/>
      <c r="AA92" s="3">
        <f>26834+293</f>
        <v>27127</v>
      </c>
      <c r="AB92" s="3"/>
      <c r="AC92" s="3">
        <v>2931719</v>
      </c>
      <c r="AD92" s="3"/>
      <c r="AE92" s="27">
        <f t="shared" si="8"/>
        <v>3015670</v>
      </c>
      <c r="AF92" s="16"/>
      <c r="AG92" s="3">
        <f t="shared" si="13"/>
        <v>0</v>
      </c>
      <c r="AJ92" s="3"/>
      <c r="AK92" s="3" t="str">
        <f t="shared" si="14"/>
        <v>Jefferson County Educ Srv Ctr</v>
      </c>
      <c r="AL92" s="3" t="str">
        <f>'St of Act-Exp'!A92</f>
        <v>Jefferson County Educ Srv Ctr</v>
      </c>
      <c r="AM92" s="16" t="b">
        <f t="shared" si="15"/>
        <v>1</v>
      </c>
      <c r="AO92" s="3" t="str">
        <f t="shared" si="11"/>
        <v>Jefferson</v>
      </c>
      <c r="AP92" s="3" t="str">
        <f>'St of Act-Exp'!C92</f>
        <v>Jefferson</v>
      </c>
      <c r="AQ92" s="16" t="b">
        <f t="shared" si="12"/>
        <v>1</v>
      </c>
    </row>
    <row r="93" spans="1:43">
      <c r="A93" s="16" t="s">
        <v>333</v>
      </c>
      <c r="B93" s="16"/>
      <c r="C93" s="16" t="s">
        <v>174</v>
      </c>
      <c r="E93" s="16">
        <v>47811</v>
      </c>
      <c r="G93" s="3">
        <v>0</v>
      </c>
      <c r="H93" s="3"/>
      <c r="I93" s="3">
        <v>0</v>
      </c>
      <c r="J93" s="3"/>
      <c r="K93" s="8">
        <f t="shared" si="9"/>
        <v>157761</v>
      </c>
      <c r="L93" s="3"/>
      <c r="M93" s="3">
        <v>157761</v>
      </c>
      <c r="N93" s="3"/>
      <c r="O93" s="8">
        <f t="shared" si="10"/>
        <v>357337</v>
      </c>
      <c r="P93" s="3"/>
      <c r="Q93" s="3">
        <v>0</v>
      </c>
      <c r="R93" s="3"/>
      <c r="S93" s="3">
        <v>357337</v>
      </c>
      <c r="T93" s="3"/>
      <c r="U93" s="3">
        <v>0</v>
      </c>
      <c r="V93" s="3"/>
      <c r="W93" s="3">
        <v>0</v>
      </c>
      <c r="X93" s="3"/>
      <c r="Y93" s="3">
        <v>0</v>
      </c>
      <c r="Z93" s="3"/>
      <c r="AA93" s="3">
        <v>38253</v>
      </c>
      <c r="AB93" s="3"/>
      <c r="AC93" s="3">
        <v>-237829</v>
      </c>
      <c r="AD93" s="3"/>
      <c r="AE93" s="27">
        <f t="shared" si="8"/>
        <v>-199576</v>
      </c>
      <c r="AF93" s="16"/>
      <c r="AG93" s="3">
        <f t="shared" si="13"/>
        <v>0</v>
      </c>
      <c r="AJ93" s="3"/>
      <c r="AK93" s="3" t="str">
        <f t="shared" si="14"/>
        <v>Knox County Educ Srv Ctr</v>
      </c>
      <c r="AL93" s="3" t="str">
        <f>'St of Act-Exp'!A93</f>
        <v>Knox County Educ Srv Ctr</v>
      </c>
      <c r="AM93" s="16" t="b">
        <f t="shared" si="15"/>
        <v>1</v>
      </c>
      <c r="AO93" s="3" t="str">
        <f t="shared" si="11"/>
        <v>Knox</v>
      </c>
      <c r="AP93" s="3" t="str">
        <f>'St of Act-Exp'!C93</f>
        <v>Knox</v>
      </c>
      <c r="AQ93" s="16" t="b">
        <f t="shared" si="12"/>
        <v>1</v>
      </c>
    </row>
    <row r="94" spans="1:43">
      <c r="A94" s="16" t="s">
        <v>334</v>
      </c>
      <c r="B94" s="16"/>
      <c r="C94" s="16" t="s">
        <v>149</v>
      </c>
      <c r="E94" s="16">
        <v>47860</v>
      </c>
      <c r="G94" s="3">
        <v>1943277</v>
      </c>
      <c r="H94" s="3"/>
      <c r="I94" s="3">
        <v>0</v>
      </c>
      <c r="J94" s="3"/>
      <c r="K94" s="8">
        <f t="shared" si="9"/>
        <v>285023</v>
      </c>
      <c r="L94" s="3"/>
      <c r="M94" s="3">
        <v>2228300</v>
      </c>
      <c r="N94" s="3"/>
      <c r="O94" s="8">
        <f t="shared" si="10"/>
        <v>1239906</v>
      </c>
      <c r="P94" s="3"/>
      <c r="Q94" s="3">
        <v>0</v>
      </c>
      <c r="R94" s="3"/>
      <c r="S94" s="3">
        <v>1239906</v>
      </c>
      <c r="T94" s="3"/>
      <c r="U94" s="3">
        <v>0</v>
      </c>
      <c r="V94" s="3"/>
      <c r="W94" s="3">
        <v>0</v>
      </c>
      <c r="X94" s="3"/>
      <c r="Y94" s="3">
        <v>0</v>
      </c>
      <c r="Z94" s="3"/>
      <c r="AA94" s="3">
        <v>114722</v>
      </c>
      <c r="AB94" s="3"/>
      <c r="AC94" s="3">
        <v>873672</v>
      </c>
      <c r="AD94" s="3"/>
      <c r="AE94" s="27">
        <f t="shared" si="8"/>
        <v>988394</v>
      </c>
      <c r="AF94" s="16"/>
      <c r="AG94" s="3">
        <f t="shared" si="13"/>
        <v>0</v>
      </c>
      <c r="AJ94" s="16" t="s">
        <v>387</v>
      </c>
      <c r="AK94" s="3" t="str">
        <f t="shared" si="14"/>
        <v>Lake County Educ Srv Ctr</v>
      </c>
      <c r="AL94" s="3" t="str">
        <f>'St of Act-Exp'!A94</f>
        <v>Lake County Educ Srv Ctr</v>
      </c>
      <c r="AM94" s="16" t="b">
        <f t="shared" si="15"/>
        <v>1</v>
      </c>
      <c r="AO94" s="3" t="str">
        <f t="shared" si="11"/>
        <v>Lake</v>
      </c>
      <c r="AP94" s="3" t="str">
        <f>'St of Act-Exp'!C94</f>
        <v>Lake</v>
      </c>
      <c r="AQ94" s="16" t="b">
        <f t="shared" si="12"/>
        <v>1</v>
      </c>
    </row>
    <row r="95" spans="1:43">
      <c r="A95" s="16" t="s">
        <v>335</v>
      </c>
      <c r="B95" s="16"/>
      <c r="C95" s="16" t="s">
        <v>175</v>
      </c>
      <c r="E95" s="16">
        <v>47910</v>
      </c>
      <c r="G95" s="3">
        <v>600312</v>
      </c>
      <c r="H95" s="3"/>
      <c r="I95" s="3">
        <v>0</v>
      </c>
      <c r="J95" s="3"/>
      <c r="K95" s="8">
        <f t="shared" si="9"/>
        <v>57026</v>
      </c>
      <c r="L95" s="3"/>
      <c r="M95" s="3">
        <v>657338</v>
      </c>
      <c r="N95" s="3"/>
      <c r="O95" s="8">
        <f t="shared" si="10"/>
        <v>51416</v>
      </c>
      <c r="P95" s="3"/>
      <c r="Q95" s="3">
        <v>0</v>
      </c>
      <c r="R95" s="3"/>
      <c r="S95" s="3">
        <v>51416</v>
      </c>
      <c r="T95" s="3"/>
      <c r="U95" s="3">
        <v>0</v>
      </c>
      <c r="V95" s="3"/>
      <c r="W95" s="3">
        <v>0</v>
      </c>
      <c r="X95" s="3"/>
      <c r="Y95" s="3">
        <v>0</v>
      </c>
      <c r="Z95" s="3"/>
      <c r="AA95" s="3">
        <v>15690</v>
      </c>
      <c r="AB95" s="3"/>
      <c r="AC95" s="3">
        <v>590232</v>
      </c>
      <c r="AD95" s="3"/>
      <c r="AE95" s="27">
        <f t="shared" si="8"/>
        <v>605922</v>
      </c>
      <c r="AF95" s="16"/>
      <c r="AG95" s="3">
        <f t="shared" si="13"/>
        <v>0</v>
      </c>
      <c r="AJ95" s="90" t="s">
        <v>320</v>
      </c>
      <c r="AK95" s="3" t="str">
        <f t="shared" si="14"/>
        <v>Lawrence County Educ Srv Ctr</v>
      </c>
      <c r="AL95" s="3" t="str">
        <f>'St of Act-Exp'!A95</f>
        <v>Lawrence County Educ Srv Ctr</v>
      </c>
      <c r="AM95" s="16" t="b">
        <f t="shared" si="15"/>
        <v>1</v>
      </c>
      <c r="AO95" s="3" t="str">
        <f t="shared" si="11"/>
        <v>Lawrence</v>
      </c>
      <c r="AP95" s="3" t="str">
        <f>'St of Act-Exp'!C95</f>
        <v>Lawrence</v>
      </c>
      <c r="AQ95" s="16" t="b">
        <f t="shared" si="12"/>
        <v>1</v>
      </c>
    </row>
    <row r="96" spans="1:43">
      <c r="A96" s="3" t="s">
        <v>336</v>
      </c>
      <c r="B96" s="3"/>
      <c r="C96" s="3" t="s">
        <v>176</v>
      </c>
      <c r="E96" s="16"/>
      <c r="G96" s="3">
        <v>1190714</v>
      </c>
      <c r="H96" s="3"/>
      <c r="I96" s="3">
        <v>0</v>
      </c>
      <c r="J96" s="3"/>
      <c r="K96" s="8">
        <f>+M96-I96-G96</f>
        <v>1994018</v>
      </c>
      <c r="L96" s="3"/>
      <c r="M96" s="3">
        <v>3184732</v>
      </c>
      <c r="N96" s="3"/>
      <c r="O96" s="8">
        <f>+S96-Q96</f>
        <v>1087468</v>
      </c>
      <c r="P96" s="3"/>
      <c r="Q96" s="3">
        <v>1968705</v>
      </c>
      <c r="R96" s="3"/>
      <c r="S96" s="3">
        <v>3056173</v>
      </c>
      <c r="T96" s="3"/>
      <c r="U96" s="3">
        <v>4774</v>
      </c>
      <c r="V96" s="3"/>
      <c r="W96" s="3">
        <v>0</v>
      </c>
      <c r="X96" s="3"/>
      <c r="Y96" s="3">
        <v>57872</v>
      </c>
      <c r="Z96" s="3"/>
      <c r="AA96" s="3">
        <v>98244</v>
      </c>
      <c r="AB96" s="3"/>
      <c r="AC96" s="3">
        <v>-32331</v>
      </c>
      <c r="AD96" s="3"/>
      <c r="AE96" s="27">
        <f t="shared" si="8"/>
        <v>128559</v>
      </c>
      <c r="AF96" s="16"/>
      <c r="AG96" s="3">
        <f t="shared" si="13"/>
        <v>0</v>
      </c>
      <c r="AJ96" s="3"/>
      <c r="AK96" s="3" t="str">
        <f t="shared" si="14"/>
        <v>Licking County Educ Srv Ctr</v>
      </c>
      <c r="AL96" s="3" t="str">
        <f>'St of Act-Exp'!A96</f>
        <v>Licking County Educ Srv Ctr</v>
      </c>
      <c r="AM96" s="16" t="b">
        <f t="shared" si="15"/>
        <v>1</v>
      </c>
      <c r="AO96" s="3" t="str">
        <f t="shared" si="11"/>
        <v>Licking</v>
      </c>
      <c r="AP96" s="3" t="str">
        <f>'St of Act-Exp'!C96</f>
        <v>Licking</v>
      </c>
      <c r="AQ96" s="16" t="b">
        <f t="shared" si="12"/>
        <v>1</v>
      </c>
    </row>
    <row r="97" spans="1:43">
      <c r="A97" s="16" t="s">
        <v>337</v>
      </c>
      <c r="B97" s="16"/>
      <c r="C97" s="16" t="s">
        <v>177</v>
      </c>
      <c r="E97" s="16">
        <v>48058</v>
      </c>
      <c r="G97" s="3">
        <v>576647</v>
      </c>
      <c r="H97" s="3"/>
      <c r="I97" s="3">
        <v>0</v>
      </c>
      <c r="J97" s="3"/>
      <c r="K97" s="8">
        <f t="shared" si="9"/>
        <v>51192</v>
      </c>
      <c r="L97" s="3"/>
      <c r="M97" s="3">
        <v>627839</v>
      </c>
      <c r="N97" s="3"/>
      <c r="O97" s="8">
        <f t="shared" si="10"/>
        <v>260176</v>
      </c>
      <c r="P97" s="3"/>
      <c r="Q97" s="3">
        <v>0</v>
      </c>
      <c r="R97" s="3"/>
      <c r="S97" s="3">
        <v>260176</v>
      </c>
      <c r="T97" s="3"/>
      <c r="U97" s="3">
        <v>0</v>
      </c>
      <c r="V97" s="3"/>
      <c r="W97" s="3">
        <v>0</v>
      </c>
      <c r="X97" s="3"/>
      <c r="Y97" s="3">
        <v>0</v>
      </c>
      <c r="Z97" s="3"/>
      <c r="AA97" s="3">
        <v>24876</v>
      </c>
      <c r="AB97" s="3"/>
      <c r="AC97" s="3">
        <v>342787</v>
      </c>
      <c r="AD97" s="3"/>
      <c r="AE97" s="27">
        <f t="shared" si="8"/>
        <v>367663</v>
      </c>
      <c r="AF97" s="16"/>
      <c r="AG97" s="3">
        <f t="shared" si="13"/>
        <v>0</v>
      </c>
      <c r="AJ97" s="90" t="s">
        <v>320</v>
      </c>
      <c r="AK97" s="3" t="str">
        <f t="shared" si="14"/>
        <v>Logan County Educ Srv Ctr</v>
      </c>
      <c r="AL97" s="3" t="str">
        <f>'St of Act-Exp'!A97</f>
        <v>Logan County Educ Srv Ctr</v>
      </c>
      <c r="AM97" s="16" t="b">
        <f t="shared" si="15"/>
        <v>1</v>
      </c>
      <c r="AO97" s="3" t="str">
        <f t="shared" si="11"/>
        <v>Logan</v>
      </c>
      <c r="AP97" s="3" t="str">
        <f>'St of Act-Exp'!C97</f>
        <v>Logan</v>
      </c>
      <c r="AQ97" s="16" t="b">
        <f t="shared" si="12"/>
        <v>1</v>
      </c>
    </row>
    <row r="98" spans="1:43">
      <c r="A98" s="16" t="s">
        <v>338</v>
      </c>
      <c r="B98" s="16"/>
      <c r="C98" s="16" t="s">
        <v>145</v>
      </c>
      <c r="E98" s="16">
        <v>48108</v>
      </c>
      <c r="G98" s="3">
        <v>2442539</v>
      </c>
      <c r="H98" s="3"/>
      <c r="I98" s="3">
        <v>0</v>
      </c>
      <c r="J98" s="3"/>
      <c r="K98" s="8">
        <f t="shared" si="9"/>
        <v>889495</v>
      </c>
      <c r="L98" s="3"/>
      <c r="M98" s="3">
        <v>3332034</v>
      </c>
      <c r="N98" s="3"/>
      <c r="O98" s="8">
        <f t="shared" si="10"/>
        <v>871824</v>
      </c>
      <c r="P98" s="3"/>
      <c r="Q98" s="3">
        <v>0</v>
      </c>
      <c r="R98" s="3"/>
      <c r="S98" s="3">
        <v>871824</v>
      </c>
      <c r="T98" s="3"/>
      <c r="U98" s="3">
        <v>0</v>
      </c>
      <c r="V98" s="3"/>
      <c r="W98" s="3">
        <v>0</v>
      </c>
      <c r="X98" s="3"/>
      <c r="Y98" s="3">
        <v>0</v>
      </c>
      <c r="Z98" s="3"/>
      <c r="AA98" s="3">
        <v>320791</v>
      </c>
      <c r="AB98" s="3"/>
      <c r="AC98" s="3">
        <v>2139419</v>
      </c>
      <c r="AD98" s="3"/>
      <c r="AE98" s="27">
        <f t="shared" si="8"/>
        <v>2460210</v>
      </c>
      <c r="AF98" s="16"/>
      <c r="AG98" s="3">
        <f t="shared" si="13"/>
        <v>0</v>
      </c>
      <c r="AJ98" s="16" t="s">
        <v>388</v>
      </c>
      <c r="AK98" s="3" t="str">
        <f t="shared" si="14"/>
        <v>Lorain County Educ Srv Ctr</v>
      </c>
      <c r="AL98" s="3" t="str">
        <f>'St of Act-Exp'!A98</f>
        <v>Lorain County Educ Srv Ctr</v>
      </c>
      <c r="AM98" s="16" t="b">
        <f t="shared" si="15"/>
        <v>1</v>
      </c>
      <c r="AO98" s="3" t="str">
        <f t="shared" si="11"/>
        <v>Lorain</v>
      </c>
      <c r="AP98" s="3" t="str">
        <f>'St of Act-Exp'!C98</f>
        <v>Lorain</v>
      </c>
      <c r="AQ98" s="16" t="b">
        <f t="shared" si="12"/>
        <v>1</v>
      </c>
    </row>
    <row r="99" spans="1:43">
      <c r="A99" s="16" t="s">
        <v>339</v>
      </c>
      <c r="B99" s="16"/>
      <c r="C99" s="16" t="s">
        <v>178</v>
      </c>
      <c r="E99" s="16">
        <v>48199</v>
      </c>
      <c r="G99" s="3">
        <v>3265055</v>
      </c>
      <c r="H99" s="3"/>
      <c r="I99" s="3">
        <v>0</v>
      </c>
      <c r="J99" s="3"/>
      <c r="K99" s="8">
        <f t="shared" si="9"/>
        <v>915965</v>
      </c>
      <c r="L99" s="3"/>
      <c r="M99" s="3">
        <v>4181020</v>
      </c>
      <c r="N99" s="3"/>
      <c r="O99" s="8">
        <f t="shared" si="10"/>
        <v>1475321</v>
      </c>
      <c r="P99" s="3"/>
      <c r="Q99" s="3">
        <v>325423</v>
      </c>
      <c r="R99" s="3"/>
      <c r="S99" s="3">
        <v>1800744</v>
      </c>
      <c r="T99" s="3"/>
      <c r="U99" s="3">
        <v>0</v>
      </c>
      <c r="V99" s="3"/>
      <c r="W99" s="3">
        <v>0</v>
      </c>
      <c r="X99" s="3"/>
      <c r="Y99" s="3">
        <f>233468+827024</f>
        <v>1060492</v>
      </c>
      <c r="Z99" s="3"/>
      <c r="AA99" s="3">
        <v>22637</v>
      </c>
      <c r="AB99" s="3"/>
      <c r="AC99" s="3">
        <v>1297147</v>
      </c>
      <c r="AD99" s="3"/>
      <c r="AE99" s="27">
        <f t="shared" si="8"/>
        <v>2380276</v>
      </c>
      <c r="AF99" s="16"/>
      <c r="AG99" s="3">
        <f t="shared" si="13"/>
        <v>0</v>
      </c>
      <c r="AJ99" s="3"/>
      <c r="AK99" s="3" t="str">
        <f t="shared" si="14"/>
        <v>Lucas County Educ Srv Ctr</v>
      </c>
      <c r="AL99" s="3" t="str">
        <f>'St of Act-Exp'!A99</f>
        <v>Lucas County Educ Srv Ctr</v>
      </c>
      <c r="AM99" s="16" t="b">
        <f t="shared" si="15"/>
        <v>1</v>
      </c>
      <c r="AO99" s="3" t="str">
        <f t="shared" si="11"/>
        <v>Lucas</v>
      </c>
      <c r="AP99" s="3" t="str">
        <f>'St of Act-Exp'!C99</f>
        <v>Lucas</v>
      </c>
      <c r="AQ99" s="16" t="b">
        <f t="shared" si="12"/>
        <v>1</v>
      </c>
    </row>
    <row r="100" spans="1:43" s="72" customFormat="1" hidden="1">
      <c r="A100" s="65" t="s">
        <v>391</v>
      </c>
      <c r="B100" s="66"/>
      <c r="C100" s="66" t="s">
        <v>154</v>
      </c>
      <c r="E100" s="66">
        <v>137364</v>
      </c>
      <c r="G100" s="65"/>
      <c r="H100" s="65"/>
      <c r="I100" s="3">
        <v>0</v>
      </c>
      <c r="J100" s="65"/>
      <c r="K100" s="70">
        <f t="shared" si="9"/>
        <v>0</v>
      </c>
      <c r="L100" s="65"/>
      <c r="M100" s="65"/>
      <c r="N100" s="65"/>
      <c r="O100" s="70">
        <f t="shared" si="10"/>
        <v>0</v>
      </c>
      <c r="P100" s="65"/>
      <c r="Q100" s="65"/>
      <c r="R100" s="65"/>
      <c r="S100" s="65"/>
      <c r="T100" s="65"/>
      <c r="U100" s="65"/>
      <c r="V100" s="65"/>
      <c r="W100" s="3">
        <v>0</v>
      </c>
      <c r="X100" s="65"/>
      <c r="Y100" s="65"/>
      <c r="Z100" s="65"/>
      <c r="AA100" s="65"/>
      <c r="AB100" s="65"/>
      <c r="AC100" s="65"/>
      <c r="AD100" s="65"/>
      <c r="AE100" s="73">
        <f t="shared" si="8"/>
        <v>0</v>
      </c>
      <c r="AF100" s="66"/>
      <c r="AG100" s="65">
        <f t="shared" si="13"/>
        <v>0</v>
      </c>
      <c r="AJ100" s="65" t="s">
        <v>390</v>
      </c>
      <c r="AK100" s="65" t="str">
        <f t="shared" si="14"/>
        <v>Madison-Champaign Educ Srv Ctr (CASH)</v>
      </c>
      <c r="AL100" s="65" t="str">
        <f>'St of Act-Exp'!A100</f>
        <v>Madison-Champaign Educ Srv Ctr (CASH)</v>
      </c>
      <c r="AM100" s="66" t="b">
        <f t="shared" si="15"/>
        <v>1</v>
      </c>
      <c r="AO100" s="65" t="str">
        <f t="shared" si="11"/>
        <v>Champaign</v>
      </c>
      <c r="AP100" s="65" t="str">
        <f>'St of Act-Exp'!C100</f>
        <v>Champaign</v>
      </c>
      <c r="AQ100" s="66" t="b">
        <f t="shared" si="12"/>
        <v>1</v>
      </c>
    </row>
    <row r="101" spans="1:43">
      <c r="A101" s="3" t="s">
        <v>392</v>
      </c>
      <c r="B101" s="16"/>
      <c r="C101" s="16" t="s">
        <v>179</v>
      </c>
      <c r="E101" s="16">
        <v>48280</v>
      </c>
      <c r="G101" s="3">
        <v>1365780</v>
      </c>
      <c r="H101" s="3"/>
      <c r="I101" s="3">
        <v>0</v>
      </c>
      <c r="J101" s="3"/>
      <c r="K101" s="8">
        <f t="shared" si="9"/>
        <v>2948644</v>
      </c>
      <c r="L101" s="3"/>
      <c r="M101" s="3">
        <v>4314424</v>
      </c>
      <c r="N101" s="3"/>
      <c r="O101" s="8">
        <f t="shared" si="10"/>
        <v>2031221</v>
      </c>
      <c r="P101" s="3"/>
      <c r="Q101" s="3">
        <v>2117668</v>
      </c>
      <c r="R101" s="3"/>
      <c r="S101" s="3">
        <v>4148889</v>
      </c>
      <c r="T101" s="3"/>
      <c r="U101" s="3">
        <f>19058+2614</f>
        <v>21672</v>
      </c>
      <c r="V101" s="3"/>
      <c r="W101" s="3">
        <v>0</v>
      </c>
      <c r="X101" s="3"/>
      <c r="Y101" s="3">
        <v>0</v>
      </c>
      <c r="Z101" s="3"/>
      <c r="AA101" s="3">
        <f>150691+88427+44353</f>
        <v>283471</v>
      </c>
      <c r="AB101" s="3"/>
      <c r="AC101" s="3">
        <v>-139608</v>
      </c>
      <c r="AD101" s="3"/>
      <c r="AE101" s="27">
        <f t="shared" si="8"/>
        <v>165535</v>
      </c>
      <c r="AF101" s="16"/>
      <c r="AG101" s="3">
        <f t="shared" si="13"/>
        <v>0</v>
      </c>
      <c r="AJ101" s="3"/>
      <c r="AK101" s="3" t="str">
        <f t="shared" si="14"/>
        <v>Mahoning County Educ Srv Ctr</v>
      </c>
      <c r="AL101" s="3" t="str">
        <f>'St of Act-Exp'!A101</f>
        <v>Mahoning County Educ Srv Ctr</v>
      </c>
      <c r="AM101" s="16" t="b">
        <f t="shared" si="15"/>
        <v>1</v>
      </c>
      <c r="AO101" s="3" t="str">
        <f t="shared" si="11"/>
        <v>Mahoning</v>
      </c>
      <c r="AP101" s="3" t="str">
        <f>'St of Act-Exp'!C101</f>
        <v>Mahoning</v>
      </c>
      <c r="AQ101" s="16" t="b">
        <f t="shared" si="12"/>
        <v>1</v>
      </c>
    </row>
    <row r="102" spans="1:43">
      <c r="A102" s="3" t="s">
        <v>180</v>
      </c>
      <c r="B102" s="16"/>
      <c r="C102" s="16" t="s">
        <v>181</v>
      </c>
      <c r="E102" s="16">
        <v>48454</v>
      </c>
      <c r="G102" s="3">
        <v>1841381</v>
      </c>
      <c r="H102" s="3"/>
      <c r="I102" s="3">
        <v>0</v>
      </c>
      <c r="J102" s="3"/>
      <c r="K102" s="8">
        <f t="shared" si="9"/>
        <v>58774</v>
      </c>
      <c r="L102" s="3"/>
      <c r="M102" s="3">
        <v>1900155</v>
      </c>
      <c r="N102" s="3"/>
      <c r="O102" s="8">
        <f t="shared" si="10"/>
        <v>236107</v>
      </c>
      <c r="P102" s="3"/>
      <c r="Q102" s="3">
        <v>14567</v>
      </c>
      <c r="R102" s="3"/>
      <c r="S102" s="3">
        <v>250674</v>
      </c>
      <c r="T102" s="3"/>
      <c r="U102" s="3">
        <v>0</v>
      </c>
      <c r="V102" s="3"/>
      <c r="W102" s="3">
        <v>983988</v>
      </c>
      <c r="X102" s="3"/>
      <c r="Y102" s="3">
        <v>245900</v>
      </c>
      <c r="Z102" s="3"/>
      <c r="AA102" s="3">
        <v>162143</v>
      </c>
      <c r="AB102" s="3"/>
      <c r="AC102" s="3">
        <v>257450</v>
      </c>
      <c r="AD102" s="3"/>
      <c r="AE102" s="27">
        <f t="shared" si="8"/>
        <v>1649481</v>
      </c>
      <c r="AF102" s="16"/>
      <c r="AG102" s="3">
        <f t="shared" si="13"/>
        <v>0</v>
      </c>
      <c r="AJ102" s="3"/>
      <c r="AK102" s="3" t="str">
        <f t="shared" si="14"/>
        <v>Medina County Educ Srv Ctr</v>
      </c>
      <c r="AL102" s="3" t="str">
        <f>'St of Act-Exp'!A102</f>
        <v>Medina County Educ Srv Ctr</v>
      </c>
      <c r="AM102" s="16" t="b">
        <f t="shared" si="15"/>
        <v>1</v>
      </c>
      <c r="AO102" s="3" t="str">
        <f t="shared" si="11"/>
        <v>Medina</v>
      </c>
      <c r="AP102" s="3" t="str">
        <f>'St of Act-Exp'!C102</f>
        <v>Medina</v>
      </c>
      <c r="AQ102" s="16" t="b">
        <f t="shared" si="12"/>
        <v>1</v>
      </c>
    </row>
    <row r="103" spans="1:43" s="72" customFormat="1" hidden="1">
      <c r="A103" s="65" t="s">
        <v>394</v>
      </c>
      <c r="B103" s="66"/>
      <c r="C103" s="66" t="s">
        <v>182</v>
      </c>
      <c r="E103" s="66">
        <v>48546</v>
      </c>
      <c r="G103" s="65"/>
      <c r="H103" s="65"/>
      <c r="I103" s="3">
        <v>0</v>
      </c>
      <c r="J103" s="65"/>
      <c r="K103" s="70">
        <f t="shared" si="9"/>
        <v>0</v>
      </c>
      <c r="L103" s="65"/>
      <c r="M103" s="65"/>
      <c r="N103" s="65"/>
      <c r="O103" s="70">
        <f t="shared" si="10"/>
        <v>0</v>
      </c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73">
        <f t="shared" si="8"/>
        <v>0</v>
      </c>
      <c r="AF103" s="66"/>
      <c r="AG103" s="65">
        <f t="shared" si="13"/>
        <v>0</v>
      </c>
      <c r="AJ103" s="80" t="s">
        <v>393</v>
      </c>
      <c r="AK103" s="65" t="str">
        <f t="shared" si="14"/>
        <v>Mercer County Educ Srv Ctr (CASH)</v>
      </c>
      <c r="AL103" s="65" t="str">
        <f>'St of Act-Exp'!A103</f>
        <v>Mercer County Educ Srv Ctr (CASH)</v>
      </c>
      <c r="AM103" s="66" t="b">
        <f t="shared" si="15"/>
        <v>1</v>
      </c>
      <c r="AO103" s="65" t="str">
        <f t="shared" si="11"/>
        <v>Mercer</v>
      </c>
      <c r="AP103" s="65" t="str">
        <f>'St of Act-Exp'!C103</f>
        <v>Mercer</v>
      </c>
      <c r="AQ103" s="66" t="b">
        <f t="shared" si="12"/>
        <v>1</v>
      </c>
    </row>
    <row r="104" spans="1:43">
      <c r="A104" s="3" t="s">
        <v>395</v>
      </c>
      <c r="B104" s="16"/>
      <c r="C104" s="16" t="s">
        <v>183</v>
      </c>
      <c r="E104" s="16">
        <v>48603</v>
      </c>
      <c r="G104" s="3">
        <v>2971498</v>
      </c>
      <c r="H104" s="3"/>
      <c r="I104" s="3">
        <v>3408</v>
      </c>
      <c r="J104" s="3"/>
      <c r="K104" s="8">
        <f t="shared" si="9"/>
        <v>404293</v>
      </c>
      <c r="L104" s="3"/>
      <c r="M104" s="3">
        <v>3379199</v>
      </c>
      <c r="N104" s="3"/>
      <c r="O104" s="8">
        <f t="shared" si="10"/>
        <v>1547888</v>
      </c>
      <c r="P104" s="3"/>
      <c r="Q104" s="3">
        <v>1475</v>
      </c>
      <c r="R104" s="3"/>
      <c r="S104" s="3">
        <v>1549363</v>
      </c>
      <c r="T104" s="3"/>
      <c r="U104" s="3">
        <v>21817</v>
      </c>
      <c r="V104" s="3"/>
      <c r="W104" s="3">
        <v>0</v>
      </c>
      <c r="X104" s="3"/>
      <c r="Y104" s="3">
        <v>9407</v>
      </c>
      <c r="Z104" s="3"/>
      <c r="AA104" s="3">
        <v>72344</v>
      </c>
      <c r="AB104" s="3"/>
      <c r="AC104" s="3">
        <v>1726268</v>
      </c>
      <c r="AD104" s="3"/>
      <c r="AE104" s="27">
        <f t="shared" si="8"/>
        <v>1829836</v>
      </c>
      <c r="AF104" s="16"/>
      <c r="AG104" s="3">
        <f t="shared" si="13"/>
        <v>0</v>
      </c>
      <c r="AJ104" s="3"/>
      <c r="AK104" s="3" t="str">
        <f t="shared" si="14"/>
        <v>Miami County Educ Srv Ctr</v>
      </c>
      <c r="AL104" s="3" t="str">
        <f>'St of Act-Exp'!A104</f>
        <v>Miami County Educ Srv Ctr</v>
      </c>
      <c r="AM104" s="16" t="b">
        <f t="shared" si="15"/>
        <v>1</v>
      </c>
      <c r="AO104" s="3" t="str">
        <f t="shared" si="11"/>
        <v>Miami</v>
      </c>
      <c r="AP104" s="3" t="str">
        <f>'St of Act-Exp'!C104</f>
        <v>Miami</v>
      </c>
      <c r="AQ104" s="16" t="b">
        <f t="shared" si="12"/>
        <v>1</v>
      </c>
    </row>
    <row r="105" spans="1:43" s="72" customFormat="1" hidden="1">
      <c r="A105" s="65" t="s">
        <v>293</v>
      </c>
      <c r="B105" s="65"/>
      <c r="C105" s="65" t="s">
        <v>193</v>
      </c>
      <c r="E105" s="66"/>
      <c r="G105" s="65"/>
      <c r="H105" s="65"/>
      <c r="I105" s="65"/>
      <c r="J105" s="65"/>
      <c r="K105" s="70">
        <f>+M105-I105-G105</f>
        <v>0</v>
      </c>
      <c r="L105" s="65"/>
      <c r="M105" s="65"/>
      <c r="N105" s="65"/>
      <c r="O105" s="70">
        <f>+S105-Q105</f>
        <v>0</v>
      </c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73">
        <f t="shared" si="8"/>
        <v>0</v>
      </c>
      <c r="AF105" s="66"/>
      <c r="AG105" s="65">
        <f t="shared" si="13"/>
        <v>0</v>
      </c>
      <c r="AJ105" s="80" t="s">
        <v>393</v>
      </c>
      <c r="AK105" s="65" t="str">
        <f t="shared" si="14"/>
        <v>Mid-Ohio Educ Srv Ctr  (CASH)</v>
      </c>
      <c r="AL105" s="65" t="str">
        <f>'St of Act-Exp'!A105</f>
        <v>Mid-Ohio Educ Srv Ctr  (CASH)</v>
      </c>
      <c r="AM105" s="66" t="b">
        <f t="shared" si="15"/>
        <v>1</v>
      </c>
      <c r="AO105" s="65" t="str">
        <f t="shared" si="11"/>
        <v>Richland</v>
      </c>
      <c r="AP105" s="65" t="str">
        <f>'St of Act-Exp'!C105</f>
        <v>Richland</v>
      </c>
      <c r="AQ105" s="66" t="b">
        <f t="shared" si="12"/>
        <v>1</v>
      </c>
    </row>
    <row r="106" spans="1:43">
      <c r="A106" s="3" t="s">
        <v>398</v>
      </c>
      <c r="B106" s="16"/>
      <c r="C106" s="16" t="s">
        <v>184</v>
      </c>
      <c r="E106" s="16">
        <v>48660</v>
      </c>
      <c r="G106" s="3">
        <v>13714714</v>
      </c>
      <c r="H106" s="3"/>
      <c r="I106" s="3">
        <v>34</v>
      </c>
      <c r="J106" s="3"/>
      <c r="K106" s="8">
        <f t="shared" si="9"/>
        <v>2116838</v>
      </c>
      <c r="L106" s="3"/>
      <c r="M106" s="3">
        <v>15831586</v>
      </c>
      <c r="N106" s="3"/>
      <c r="O106" s="8">
        <f t="shared" si="10"/>
        <v>3680440</v>
      </c>
      <c r="P106" s="3"/>
      <c r="Q106" s="3">
        <v>214750</v>
      </c>
      <c r="R106" s="3"/>
      <c r="S106" s="3">
        <v>3895190</v>
      </c>
      <c r="T106" s="3"/>
      <c r="U106" s="3">
        <v>26037</v>
      </c>
      <c r="V106" s="3"/>
      <c r="W106" s="3">
        <v>0</v>
      </c>
      <c r="X106" s="3"/>
      <c r="Y106" s="3">
        <v>0</v>
      </c>
      <c r="Z106" s="3"/>
      <c r="AA106" s="3">
        <v>787811</v>
      </c>
      <c r="AB106" s="3"/>
      <c r="AC106" s="3">
        <v>11122548</v>
      </c>
      <c r="AD106" s="3"/>
      <c r="AE106" s="27">
        <f t="shared" si="8"/>
        <v>11936396</v>
      </c>
      <c r="AF106" s="16"/>
      <c r="AG106" s="3">
        <f t="shared" si="13"/>
        <v>0</v>
      </c>
      <c r="AJ106" s="3"/>
      <c r="AK106" s="3" t="str">
        <f t="shared" si="14"/>
        <v>Montgomery County Educ Srv Ctr</v>
      </c>
      <c r="AL106" s="3" t="str">
        <f>'St of Act-Exp'!A106</f>
        <v>Montgomery County Educ Srv Ctr</v>
      </c>
      <c r="AM106" s="16" t="b">
        <f t="shared" si="15"/>
        <v>1</v>
      </c>
      <c r="AO106" s="3" t="str">
        <f t="shared" si="11"/>
        <v>Montgomery</v>
      </c>
      <c r="AP106" s="3" t="str">
        <f>'St of Act-Exp'!C106</f>
        <v>Montgomery</v>
      </c>
      <c r="AQ106" s="16" t="b">
        <f t="shared" si="12"/>
        <v>1</v>
      </c>
    </row>
    <row r="107" spans="1:43">
      <c r="A107" s="3" t="s">
        <v>185</v>
      </c>
      <c r="B107" s="16"/>
      <c r="C107" s="16" t="s">
        <v>186</v>
      </c>
      <c r="E107" s="16">
        <v>125252</v>
      </c>
      <c r="G107" s="3">
        <v>3358870</v>
      </c>
      <c r="H107" s="3"/>
      <c r="I107" s="3">
        <v>1651</v>
      </c>
      <c r="J107" s="3"/>
      <c r="K107" s="8">
        <f t="shared" si="9"/>
        <v>606786</v>
      </c>
      <c r="L107" s="3"/>
      <c r="M107" s="3">
        <v>3967307</v>
      </c>
      <c r="N107" s="3"/>
      <c r="O107" s="8">
        <f t="shared" si="10"/>
        <v>1295772</v>
      </c>
      <c r="P107" s="3"/>
      <c r="Q107" s="3">
        <v>86889</v>
      </c>
      <c r="R107" s="3"/>
      <c r="S107" s="3">
        <v>1382661</v>
      </c>
      <c r="T107" s="3"/>
      <c r="U107" s="3">
        <f>190534+1651</f>
        <v>192185</v>
      </c>
      <c r="V107" s="3"/>
      <c r="W107" s="3">
        <v>0</v>
      </c>
      <c r="X107" s="3"/>
      <c r="Y107" s="3">
        <v>0</v>
      </c>
      <c r="Z107" s="3"/>
      <c r="AA107" s="3">
        <v>195182</v>
      </c>
      <c r="AB107" s="3"/>
      <c r="AC107" s="3">
        <v>2197279</v>
      </c>
      <c r="AD107" s="3"/>
      <c r="AE107" s="27">
        <f t="shared" si="8"/>
        <v>2584646</v>
      </c>
      <c r="AF107" s="16"/>
      <c r="AG107" s="3">
        <f t="shared" si="13"/>
        <v>0</v>
      </c>
      <c r="AJ107" s="3"/>
      <c r="AK107" s="3" t="str">
        <f t="shared" si="14"/>
        <v>Muskingum Valley Educ Srv Ctr</v>
      </c>
      <c r="AL107" s="3" t="str">
        <f>'St of Act-Exp'!A107</f>
        <v>Muskingum Valley Educ Srv Ctr</v>
      </c>
      <c r="AM107" s="16" t="b">
        <f t="shared" si="15"/>
        <v>1</v>
      </c>
      <c r="AO107" s="3" t="str">
        <f t="shared" si="11"/>
        <v>Muskingum</v>
      </c>
      <c r="AP107" s="3" t="str">
        <f>'St of Act-Exp'!C107</f>
        <v>Muskingum</v>
      </c>
      <c r="AQ107" s="16" t="b">
        <f t="shared" si="12"/>
        <v>1</v>
      </c>
    </row>
    <row r="108" spans="1:43">
      <c r="A108" s="3" t="s">
        <v>277</v>
      </c>
      <c r="B108" s="16"/>
      <c r="C108" s="16" t="s">
        <v>197</v>
      </c>
      <c r="E108" s="16">
        <v>123257</v>
      </c>
      <c r="G108" s="3">
        <v>2243852</v>
      </c>
      <c r="H108" s="3"/>
      <c r="I108" s="3">
        <v>0</v>
      </c>
      <c r="J108" s="3"/>
      <c r="K108" s="8">
        <f t="shared" si="9"/>
        <v>478954</v>
      </c>
      <c r="L108" s="3"/>
      <c r="M108" s="3">
        <v>2722806</v>
      </c>
      <c r="N108" s="3"/>
      <c r="O108" s="8">
        <f t="shared" si="10"/>
        <v>1879550</v>
      </c>
      <c r="P108" s="3"/>
      <c r="Q108" s="3">
        <v>100137</v>
      </c>
      <c r="R108" s="3"/>
      <c r="S108" s="3">
        <v>1979687</v>
      </c>
      <c r="T108" s="3"/>
      <c r="U108" s="3">
        <v>27792</v>
      </c>
      <c r="V108" s="3"/>
      <c r="W108" s="3">
        <v>0</v>
      </c>
      <c r="X108" s="3"/>
      <c r="Y108" s="3">
        <v>14500</v>
      </c>
      <c r="Z108" s="3"/>
      <c r="AA108" s="3">
        <f>6183+13164+69112+700+99673</f>
        <v>188832</v>
      </c>
      <c r="AB108" s="3"/>
      <c r="AC108" s="3">
        <v>511995</v>
      </c>
      <c r="AD108" s="3"/>
      <c r="AE108" s="27">
        <f t="shared" si="8"/>
        <v>743119</v>
      </c>
      <c r="AF108" s="16"/>
      <c r="AG108" s="3">
        <f t="shared" si="13"/>
        <v>0</v>
      </c>
      <c r="AJ108" s="3"/>
      <c r="AK108" s="3" t="str">
        <f t="shared" si="14"/>
        <v>North Central Ohio Educ Srv Ctr</v>
      </c>
      <c r="AL108" s="3" t="str">
        <f>'St of Act-Exp'!A108</f>
        <v>North Central Ohio Educ Srv Ctr</v>
      </c>
      <c r="AM108" s="16" t="b">
        <f t="shared" si="15"/>
        <v>1</v>
      </c>
      <c r="AO108" s="3" t="str">
        <f t="shared" si="11"/>
        <v>Seneca</v>
      </c>
      <c r="AP108" s="3" t="str">
        <f>'St of Act-Exp'!C108</f>
        <v>Seneca</v>
      </c>
      <c r="AQ108" s="16" t="b">
        <f t="shared" si="12"/>
        <v>1</v>
      </c>
    </row>
    <row r="109" spans="1:43">
      <c r="A109" s="16" t="s">
        <v>340</v>
      </c>
      <c r="B109" s="16"/>
      <c r="C109" s="16" t="s">
        <v>163</v>
      </c>
      <c r="E109" s="16"/>
      <c r="G109" s="3">
        <v>6997100</v>
      </c>
      <c r="H109" s="3"/>
      <c r="I109" s="3">
        <v>0</v>
      </c>
      <c r="J109" s="3"/>
      <c r="K109" s="8">
        <f t="shared" ref="K109" si="18">+M109-I109-G109</f>
        <v>308231</v>
      </c>
      <c r="L109" s="3"/>
      <c r="M109" s="3">
        <v>7305331</v>
      </c>
      <c r="N109" s="3"/>
      <c r="O109" s="8">
        <f t="shared" ref="O109" si="19">+S109-Q109</f>
        <v>2064075</v>
      </c>
      <c r="P109" s="3"/>
      <c r="Q109" s="3">
        <f>105975+5915</f>
        <v>111890</v>
      </c>
      <c r="R109" s="3"/>
      <c r="S109" s="3">
        <v>2175965</v>
      </c>
      <c r="T109" s="3"/>
      <c r="U109" s="3">
        <v>74986</v>
      </c>
      <c r="V109" s="3"/>
      <c r="W109" s="3">
        <v>0</v>
      </c>
      <c r="X109" s="3"/>
      <c r="Y109" s="3">
        <v>103818</v>
      </c>
      <c r="Z109" s="3"/>
      <c r="AA109" s="3">
        <f>22619+233116+92017</f>
        <v>347752</v>
      </c>
      <c r="AB109" s="3"/>
      <c r="AC109" s="3">
        <v>4602810</v>
      </c>
      <c r="AD109" s="3"/>
      <c r="AE109" s="27">
        <f t="shared" si="8"/>
        <v>5129366</v>
      </c>
      <c r="AF109" s="16"/>
      <c r="AG109" s="3">
        <f t="shared" si="13"/>
        <v>0</v>
      </c>
      <c r="AJ109" s="3"/>
      <c r="AK109" s="3" t="str">
        <f t="shared" si="14"/>
        <v>North Point Educ Srv Ctr</v>
      </c>
      <c r="AL109" s="3" t="str">
        <f>'St of Act-Exp'!A109</f>
        <v>North Point Educ Srv Ctr</v>
      </c>
      <c r="AM109" s="16" t="b">
        <f t="shared" si="15"/>
        <v>1</v>
      </c>
      <c r="AO109" s="3" t="str">
        <f t="shared" si="11"/>
        <v>Erie</v>
      </c>
      <c r="AP109" s="3" t="str">
        <f>'St of Act-Exp'!C109</f>
        <v>Erie</v>
      </c>
      <c r="AQ109" s="16" t="b">
        <f t="shared" si="12"/>
        <v>1</v>
      </c>
    </row>
    <row r="110" spans="1:43">
      <c r="A110" s="3" t="s">
        <v>166</v>
      </c>
      <c r="B110" s="16"/>
      <c r="C110" s="3" t="s">
        <v>399</v>
      </c>
      <c r="E110" s="16">
        <v>124297</v>
      </c>
      <c r="G110" s="3">
        <v>3312000</v>
      </c>
      <c r="H110" s="3"/>
      <c r="I110" s="3">
        <v>0</v>
      </c>
      <c r="J110" s="3"/>
      <c r="K110" s="8">
        <f t="shared" si="9"/>
        <v>62523</v>
      </c>
      <c r="L110" s="3"/>
      <c r="M110" s="3">
        <v>3374523</v>
      </c>
      <c r="N110" s="3"/>
      <c r="O110" s="8">
        <f t="shared" si="10"/>
        <v>2337991</v>
      </c>
      <c r="P110" s="3"/>
      <c r="Q110" s="3">
        <v>14933</v>
      </c>
      <c r="R110" s="3"/>
      <c r="S110" s="3">
        <v>2352924</v>
      </c>
      <c r="T110" s="3"/>
      <c r="U110" s="3">
        <v>8967</v>
      </c>
      <c r="V110" s="3"/>
      <c r="W110" s="3">
        <v>0</v>
      </c>
      <c r="X110" s="3"/>
      <c r="Y110" s="3">
        <v>131752</v>
      </c>
      <c r="Z110" s="3"/>
      <c r="AA110" s="3">
        <v>76250</v>
      </c>
      <c r="AB110" s="3"/>
      <c r="AC110" s="3">
        <v>804630</v>
      </c>
      <c r="AD110" s="3"/>
      <c r="AE110" s="27">
        <f t="shared" si="8"/>
        <v>1021599</v>
      </c>
      <c r="AF110" s="16"/>
      <c r="AG110" s="3">
        <f t="shared" si="13"/>
        <v>0</v>
      </c>
      <c r="AJ110" s="3" t="s">
        <v>400</v>
      </c>
      <c r="AK110" s="3" t="str">
        <f t="shared" si="14"/>
        <v>Northwest Ohio Educ Srv Ctr</v>
      </c>
      <c r="AL110" s="3" t="str">
        <f>'St of Act-Exp'!A110</f>
        <v>Northwest Ohio Educ Srv Ctr</v>
      </c>
      <c r="AM110" s="16" t="b">
        <f t="shared" si="15"/>
        <v>1</v>
      </c>
      <c r="AO110" s="3" t="str">
        <f t="shared" si="11"/>
        <v>Fulton</v>
      </c>
      <c r="AP110" s="3" t="str">
        <f>'St of Act-Exp'!C110</f>
        <v>Fulton</v>
      </c>
      <c r="AQ110" s="16" t="b">
        <f t="shared" si="12"/>
        <v>1</v>
      </c>
    </row>
    <row r="111" spans="1:43">
      <c r="A111" s="3" t="s">
        <v>364</v>
      </c>
      <c r="B111" s="16"/>
      <c r="C111" s="3" t="s">
        <v>271</v>
      </c>
      <c r="E111" s="16">
        <v>123521</v>
      </c>
      <c r="G111" s="3">
        <v>1938635</v>
      </c>
      <c r="H111" s="3"/>
      <c r="I111" s="3">
        <v>28613</v>
      </c>
      <c r="J111" s="3"/>
      <c r="K111" s="8">
        <f t="shared" si="9"/>
        <v>143126</v>
      </c>
      <c r="L111" s="3"/>
      <c r="M111" s="3">
        <v>2110374</v>
      </c>
      <c r="N111" s="3"/>
      <c r="O111" s="8">
        <f t="shared" si="10"/>
        <v>802847</v>
      </c>
      <c r="P111" s="3"/>
      <c r="Q111" s="3">
        <v>15000</v>
      </c>
      <c r="R111" s="3"/>
      <c r="S111" s="3">
        <v>817847</v>
      </c>
      <c r="T111" s="3"/>
      <c r="U111" s="3">
        <v>32385</v>
      </c>
      <c r="V111" s="3"/>
      <c r="W111" s="3">
        <v>0</v>
      </c>
      <c r="X111" s="3"/>
      <c r="Y111" s="3">
        <v>0</v>
      </c>
      <c r="Z111" s="3"/>
      <c r="AA111" s="3">
        <v>127971</v>
      </c>
      <c r="AB111" s="3"/>
      <c r="AC111" s="3">
        <v>1132171</v>
      </c>
      <c r="AD111" s="3"/>
      <c r="AE111" s="27">
        <f t="shared" si="8"/>
        <v>1292527</v>
      </c>
      <c r="AF111" s="16"/>
      <c r="AG111" s="3">
        <f t="shared" si="13"/>
        <v>0</v>
      </c>
      <c r="AJ111" s="3"/>
      <c r="AK111" s="3" t="str">
        <f t="shared" si="14"/>
        <v>Ohio Valley Educ Srv Ctr</v>
      </c>
      <c r="AL111" s="3" t="str">
        <f>'St of Act-Exp'!A111</f>
        <v>Ohio Valley Educ Srv Ctr</v>
      </c>
      <c r="AM111" s="16" t="b">
        <f t="shared" si="15"/>
        <v>1</v>
      </c>
      <c r="AO111" s="3" t="str">
        <f t="shared" si="11"/>
        <v>Guernsey</v>
      </c>
      <c r="AP111" s="3" t="str">
        <f>'St of Act-Exp'!C111</f>
        <v>Guernsey</v>
      </c>
      <c r="AQ111" s="16" t="b">
        <f t="shared" si="12"/>
        <v>1</v>
      </c>
    </row>
    <row r="112" spans="1:43">
      <c r="A112" s="3" t="s">
        <v>187</v>
      </c>
      <c r="B112" s="16"/>
      <c r="C112" s="16" t="s">
        <v>188</v>
      </c>
      <c r="E112" s="16">
        <v>125674</v>
      </c>
      <c r="G112" s="3">
        <v>566641</v>
      </c>
      <c r="H112" s="3"/>
      <c r="I112" s="3">
        <v>0</v>
      </c>
      <c r="J112" s="3"/>
      <c r="K112" s="8">
        <f t="shared" si="9"/>
        <v>401131</v>
      </c>
      <c r="L112" s="3"/>
      <c r="M112" s="3">
        <v>967772</v>
      </c>
      <c r="N112" s="3"/>
      <c r="O112" s="8">
        <f t="shared" si="10"/>
        <v>807616</v>
      </c>
      <c r="P112" s="3"/>
      <c r="Q112" s="3">
        <v>0</v>
      </c>
      <c r="R112" s="3"/>
      <c r="S112" s="3">
        <v>807616</v>
      </c>
      <c r="T112" s="3"/>
      <c r="U112" s="3">
        <v>0</v>
      </c>
      <c r="V112" s="3"/>
      <c r="W112" s="3">
        <v>0</v>
      </c>
      <c r="X112" s="3"/>
      <c r="Y112" s="3">
        <v>0</v>
      </c>
      <c r="Z112" s="3"/>
      <c r="AA112" s="3">
        <v>0</v>
      </c>
      <c r="AB112" s="3"/>
      <c r="AC112" s="3">
        <v>160156</v>
      </c>
      <c r="AD112" s="3"/>
      <c r="AE112" s="27">
        <f t="shared" si="8"/>
        <v>160156</v>
      </c>
      <c r="AF112" s="16"/>
      <c r="AG112" s="3">
        <f t="shared" si="13"/>
        <v>0</v>
      </c>
      <c r="AJ112" s="3" t="s">
        <v>406</v>
      </c>
      <c r="AK112" s="3" t="str">
        <f t="shared" si="14"/>
        <v>Perry-Hocking Educ Srv Ctr</v>
      </c>
      <c r="AL112" s="3" t="str">
        <f>'St of Act-Exp'!A112</f>
        <v>Perry-Hocking Educ Srv Ctr</v>
      </c>
      <c r="AM112" s="16" t="b">
        <f t="shared" si="15"/>
        <v>1</v>
      </c>
      <c r="AO112" s="3" t="str">
        <f t="shared" si="11"/>
        <v>Perry</v>
      </c>
      <c r="AP112" s="3" t="str">
        <f>'St of Act-Exp'!C112</f>
        <v>Perry</v>
      </c>
      <c r="AQ112" s="16" t="b">
        <f t="shared" si="12"/>
        <v>1</v>
      </c>
    </row>
    <row r="113" spans="1:43">
      <c r="A113" s="3" t="s">
        <v>421</v>
      </c>
      <c r="B113" s="16"/>
      <c r="C113" s="16" t="s">
        <v>189</v>
      </c>
      <c r="E113" s="16">
        <v>49072</v>
      </c>
      <c r="G113" s="3">
        <v>696250</v>
      </c>
      <c r="H113" s="3"/>
      <c r="I113" s="3">
        <v>0</v>
      </c>
      <c r="J113" s="3"/>
      <c r="K113" s="8">
        <f t="shared" si="9"/>
        <v>77514</v>
      </c>
      <c r="L113" s="3"/>
      <c r="M113" s="3">
        <v>773764</v>
      </c>
      <c r="N113" s="3"/>
      <c r="O113" s="8">
        <f t="shared" si="10"/>
        <v>324062</v>
      </c>
      <c r="P113" s="3"/>
      <c r="Q113" s="3">
        <v>0</v>
      </c>
      <c r="R113" s="3"/>
      <c r="S113" s="3">
        <v>324062</v>
      </c>
      <c r="T113" s="3"/>
      <c r="U113" s="3">
        <v>0</v>
      </c>
      <c r="V113" s="3"/>
      <c r="W113" s="3">
        <v>0</v>
      </c>
      <c r="X113" s="3"/>
      <c r="Y113" s="3">
        <v>0</v>
      </c>
      <c r="Z113" s="3"/>
      <c r="AA113" s="3">
        <v>10695</v>
      </c>
      <c r="AB113" s="3"/>
      <c r="AC113" s="3">
        <v>439007</v>
      </c>
      <c r="AD113" s="3"/>
      <c r="AE113" s="27">
        <f t="shared" si="8"/>
        <v>449702</v>
      </c>
      <c r="AF113" s="16"/>
      <c r="AG113" s="3">
        <f t="shared" si="13"/>
        <v>0</v>
      </c>
      <c r="AJ113" s="32"/>
      <c r="AK113" s="3" t="str">
        <f t="shared" si="14"/>
        <v>Pickaway County Educ Srv Ctr</v>
      </c>
      <c r="AL113" s="3" t="str">
        <f>'St of Act-Exp'!A113</f>
        <v>Pickaway County Educ Srv Ctr</v>
      </c>
      <c r="AM113" s="16" t="b">
        <f t="shared" si="15"/>
        <v>1</v>
      </c>
      <c r="AO113" s="3" t="str">
        <f t="shared" si="11"/>
        <v>Pickaway</v>
      </c>
      <c r="AP113" s="3" t="str">
        <f>'St of Act-Exp'!C113</f>
        <v>Pickaway</v>
      </c>
      <c r="AQ113" s="16" t="b">
        <f t="shared" si="12"/>
        <v>1</v>
      </c>
    </row>
    <row r="114" spans="1:43">
      <c r="A114" s="3" t="s">
        <v>408</v>
      </c>
      <c r="B114" s="16"/>
      <c r="C114" s="16" t="s">
        <v>190</v>
      </c>
      <c r="E114" s="16">
        <v>49163</v>
      </c>
      <c r="G114" s="3">
        <v>761550</v>
      </c>
      <c r="H114" s="3"/>
      <c r="I114" s="3">
        <v>0</v>
      </c>
      <c r="J114" s="3"/>
      <c r="K114" s="8">
        <f t="shared" si="9"/>
        <v>664996</v>
      </c>
      <c r="L114" s="3"/>
      <c r="M114" s="3">
        <v>1426546</v>
      </c>
      <c r="N114" s="3"/>
      <c r="O114" s="8">
        <f t="shared" si="10"/>
        <v>713002</v>
      </c>
      <c r="P114" s="3"/>
      <c r="Q114" s="3">
        <v>487370</v>
      </c>
      <c r="R114" s="3"/>
      <c r="S114" s="3">
        <v>1200372</v>
      </c>
      <c r="T114" s="3"/>
      <c r="U114" s="3">
        <v>0</v>
      </c>
      <c r="V114" s="3"/>
      <c r="W114" s="3">
        <v>244448</v>
      </c>
      <c r="X114" s="3"/>
      <c r="Y114" s="3">
        <v>0</v>
      </c>
      <c r="Z114" s="3"/>
      <c r="AA114" s="3">
        <v>-18274</v>
      </c>
      <c r="AB114" s="3"/>
      <c r="AC114" s="3">
        <v>0</v>
      </c>
      <c r="AD114" s="3"/>
      <c r="AE114" s="27">
        <f t="shared" si="8"/>
        <v>226174</v>
      </c>
      <c r="AF114" s="16"/>
      <c r="AG114" s="3">
        <f t="shared" si="13"/>
        <v>0</v>
      </c>
      <c r="AJ114" s="32"/>
      <c r="AK114" s="3" t="str">
        <f t="shared" si="14"/>
        <v>Portage County Educ Srv Ctr</v>
      </c>
      <c r="AL114" s="3" t="str">
        <f>'St of Act-Exp'!A114</f>
        <v>Portage County Educ Srv Ctr</v>
      </c>
      <c r="AM114" s="16" t="b">
        <f t="shared" si="15"/>
        <v>1</v>
      </c>
      <c r="AO114" s="3" t="str">
        <f t="shared" si="11"/>
        <v>Portage</v>
      </c>
      <c r="AP114" s="3" t="str">
        <f>'St of Act-Exp'!C114</f>
        <v>Portage</v>
      </c>
      <c r="AQ114" s="16" t="b">
        <f t="shared" si="12"/>
        <v>1</v>
      </c>
    </row>
    <row r="115" spans="1:43" s="72" customFormat="1" hidden="1">
      <c r="A115" s="66" t="s">
        <v>409</v>
      </c>
      <c r="B115" s="66"/>
      <c r="C115" s="66" t="s">
        <v>191</v>
      </c>
      <c r="E115" s="66">
        <v>49254</v>
      </c>
      <c r="G115" s="65"/>
      <c r="H115" s="65"/>
      <c r="I115" s="65"/>
      <c r="J115" s="65"/>
      <c r="K115" s="70">
        <f t="shared" si="9"/>
        <v>0</v>
      </c>
      <c r="L115" s="65"/>
      <c r="M115" s="65"/>
      <c r="N115" s="65"/>
      <c r="O115" s="70">
        <f t="shared" si="10"/>
        <v>0</v>
      </c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73">
        <f t="shared" si="8"/>
        <v>0</v>
      </c>
      <c r="AF115" s="66"/>
      <c r="AG115" s="65">
        <f t="shared" si="13"/>
        <v>0</v>
      </c>
      <c r="AJ115" s="80" t="s">
        <v>410</v>
      </c>
      <c r="AK115" s="65" t="str">
        <f t="shared" si="14"/>
        <v>Preble County Educ Srv Ctr (CASH)</v>
      </c>
      <c r="AL115" s="65" t="str">
        <f>'St of Act-Exp'!A115</f>
        <v>Preble County Educ Srv Ctr (CASH)</v>
      </c>
      <c r="AM115" s="66" t="b">
        <f t="shared" si="15"/>
        <v>1</v>
      </c>
      <c r="AO115" s="65" t="str">
        <f t="shared" si="11"/>
        <v>Preble</v>
      </c>
      <c r="AP115" s="65" t="str">
        <f>'St of Act-Exp'!C115</f>
        <v>Preble</v>
      </c>
      <c r="AQ115" s="66" t="b">
        <f t="shared" si="12"/>
        <v>1</v>
      </c>
    </row>
    <row r="116" spans="1:43">
      <c r="A116" s="3" t="s">
        <v>411</v>
      </c>
      <c r="B116" s="16"/>
      <c r="C116" s="16" t="s">
        <v>192</v>
      </c>
      <c r="E116" s="16">
        <v>49304</v>
      </c>
      <c r="G116" s="3">
        <v>1251157</v>
      </c>
      <c r="H116" s="3"/>
      <c r="I116" s="3">
        <v>0</v>
      </c>
      <c r="J116" s="3"/>
      <c r="K116" s="8">
        <f t="shared" si="9"/>
        <v>266029</v>
      </c>
      <c r="L116" s="3"/>
      <c r="M116" s="3">
        <v>1517186</v>
      </c>
      <c r="N116" s="3"/>
      <c r="O116" s="8">
        <f t="shared" si="10"/>
        <v>550028</v>
      </c>
      <c r="P116" s="3"/>
      <c r="Q116" s="3">
        <v>1500</v>
      </c>
      <c r="R116" s="3"/>
      <c r="S116" s="3">
        <v>551528</v>
      </c>
      <c r="T116" s="3"/>
      <c r="U116" s="3">
        <v>0</v>
      </c>
      <c r="V116" s="3"/>
      <c r="W116" s="3">
        <v>0</v>
      </c>
      <c r="X116" s="3"/>
      <c r="Y116" s="3">
        <v>0</v>
      </c>
      <c r="Z116" s="3"/>
      <c r="AA116" s="3">
        <f>1771+22564</f>
        <v>24335</v>
      </c>
      <c r="AB116" s="3"/>
      <c r="AC116" s="3">
        <v>941323</v>
      </c>
      <c r="AD116" s="3"/>
      <c r="AE116" s="27">
        <f t="shared" si="8"/>
        <v>965658</v>
      </c>
      <c r="AF116" s="16"/>
      <c r="AG116" s="3">
        <f t="shared" si="13"/>
        <v>0</v>
      </c>
      <c r="AJ116" s="3"/>
      <c r="AK116" s="3" t="str">
        <f t="shared" si="14"/>
        <v>Putnam County Educ Srv Ctr</v>
      </c>
      <c r="AL116" s="3" t="str">
        <f>'St of Act-Exp'!A116</f>
        <v>Putnam County Educ Srv Ctr</v>
      </c>
      <c r="AM116" s="16" t="b">
        <f t="shared" si="15"/>
        <v>1</v>
      </c>
      <c r="AO116" s="3" t="str">
        <f t="shared" si="11"/>
        <v>Putnam</v>
      </c>
      <c r="AP116" s="3" t="str">
        <f>'St of Act-Exp'!C116</f>
        <v>Putnam</v>
      </c>
      <c r="AQ116" s="16" t="b">
        <f t="shared" si="12"/>
        <v>1</v>
      </c>
    </row>
    <row r="117" spans="1:43">
      <c r="A117" s="3" t="s">
        <v>412</v>
      </c>
      <c r="B117" s="16"/>
      <c r="C117" s="16" t="s">
        <v>194</v>
      </c>
      <c r="E117" s="16">
        <v>138222</v>
      </c>
      <c r="G117" s="3">
        <v>3280715</v>
      </c>
      <c r="H117" s="3"/>
      <c r="I117" s="3">
        <v>0</v>
      </c>
      <c r="J117" s="3"/>
      <c r="K117" s="8">
        <f t="shared" si="9"/>
        <v>555798</v>
      </c>
      <c r="L117" s="3"/>
      <c r="M117" s="3">
        <v>3836513</v>
      </c>
      <c r="N117" s="3"/>
      <c r="O117" s="8">
        <f t="shared" si="10"/>
        <v>872512</v>
      </c>
      <c r="P117" s="3"/>
      <c r="Q117" s="3">
        <v>1955</v>
      </c>
      <c r="R117" s="3"/>
      <c r="S117" s="3">
        <v>874467</v>
      </c>
      <c r="T117" s="3"/>
      <c r="U117" s="3">
        <v>0</v>
      </c>
      <c r="V117" s="3"/>
      <c r="W117" s="3">
        <v>0</v>
      </c>
      <c r="X117" s="3"/>
      <c r="Y117" s="3">
        <v>30825</v>
      </c>
      <c r="Z117" s="3"/>
      <c r="AA117" s="3">
        <f>13333+4000</f>
        <v>17333</v>
      </c>
      <c r="AB117" s="3"/>
      <c r="AC117" s="3">
        <v>2913888</v>
      </c>
      <c r="AD117" s="3"/>
      <c r="AE117" s="27">
        <f t="shared" si="8"/>
        <v>2962046</v>
      </c>
      <c r="AF117" s="16"/>
      <c r="AG117" s="3">
        <f t="shared" si="13"/>
        <v>0</v>
      </c>
      <c r="AJ117" s="3"/>
      <c r="AK117" s="3" t="str">
        <f t="shared" si="14"/>
        <v>Ross-Pike Educ Srv District</v>
      </c>
      <c r="AL117" s="3" t="str">
        <f>'St of Act-Exp'!A117</f>
        <v>Ross-Pike Educ Srv District</v>
      </c>
      <c r="AM117" s="16" t="b">
        <f t="shared" si="15"/>
        <v>1</v>
      </c>
      <c r="AO117" s="3" t="str">
        <f t="shared" si="11"/>
        <v>Ross</v>
      </c>
      <c r="AP117" s="3" t="str">
        <f>'St of Act-Exp'!C117</f>
        <v>Ross</v>
      </c>
      <c r="AQ117" s="16" t="b">
        <f t="shared" si="12"/>
        <v>1</v>
      </c>
    </row>
    <row r="118" spans="1:43" s="72" customFormat="1" hidden="1">
      <c r="A118" s="65" t="s">
        <v>341</v>
      </c>
      <c r="B118" s="66"/>
      <c r="C118" s="66" t="s">
        <v>195</v>
      </c>
      <c r="E118" s="66">
        <v>49551</v>
      </c>
      <c r="G118" s="65"/>
      <c r="H118" s="65"/>
      <c r="I118" s="65"/>
      <c r="J118" s="65"/>
      <c r="K118" s="70">
        <f t="shared" si="9"/>
        <v>0</v>
      </c>
      <c r="L118" s="65"/>
      <c r="M118" s="65"/>
      <c r="N118" s="65"/>
      <c r="O118" s="70">
        <f t="shared" si="10"/>
        <v>0</v>
      </c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73">
        <f t="shared" si="8"/>
        <v>0</v>
      </c>
      <c r="AF118" s="66"/>
      <c r="AG118" s="65">
        <f t="shared" si="13"/>
        <v>0</v>
      </c>
      <c r="AJ118" s="65" t="s">
        <v>321</v>
      </c>
      <c r="AK118" s="65" t="str">
        <f t="shared" si="14"/>
        <v>Sandusky Educ Srv Ctr - merged with two other ESC</v>
      </c>
      <c r="AL118" s="65" t="str">
        <f>'St of Act-Exp'!A118</f>
        <v>Sandusky Educ Srv Ctr - merged with two other ESC</v>
      </c>
      <c r="AM118" s="66" t="b">
        <f t="shared" si="15"/>
        <v>1</v>
      </c>
      <c r="AO118" s="65" t="str">
        <f t="shared" si="11"/>
        <v>Sandusky</v>
      </c>
      <c r="AP118" s="65" t="str">
        <f>'St of Act-Exp'!C118</f>
        <v>Sandusky</v>
      </c>
      <c r="AQ118" s="66" t="b">
        <f t="shared" si="12"/>
        <v>1</v>
      </c>
    </row>
    <row r="119" spans="1:43">
      <c r="A119" s="3" t="s">
        <v>417</v>
      </c>
      <c r="B119" s="16"/>
      <c r="C119" s="16" t="s">
        <v>198</v>
      </c>
      <c r="E119" s="16">
        <v>49742</v>
      </c>
      <c r="G119" s="3">
        <v>912098</v>
      </c>
      <c r="H119" s="3"/>
      <c r="I119" s="3">
        <v>0</v>
      </c>
      <c r="J119" s="3"/>
      <c r="K119" s="8">
        <f t="shared" si="9"/>
        <v>8597</v>
      </c>
      <c r="L119" s="3"/>
      <c r="M119" s="3">
        <v>920695</v>
      </c>
      <c r="N119" s="3"/>
      <c r="O119" s="8">
        <f t="shared" si="10"/>
        <v>484104</v>
      </c>
      <c r="P119" s="3"/>
      <c r="Q119" s="3">
        <v>356</v>
      </c>
      <c r="R119" s="3"/>
      <c r="S119" s="3">
        <v>484460</v>
      </c>
      <c r="T119" s="3"/>
      <c r="U119" s="3">
        <f>699+6787</f>
        <v>7486</v>
      </c>
      <c r="V119" s="3"/>
      <c r="W119" s="3">
        <v>0</v>
      </c>
      <c r="X119" s="3"/>
      <c r="Y119" s="3">
        <v>0</v>
      </c>
      <c r="Z119" s="3"/>
      <c r="AA119" s="3">
        <f>8210+34226+16182</f>
        <v>58618</v>
      </c>
      <c r="AB119" s="3"/>
      <c r="AC119" s="3">
        <v>370131</v>
      </c>
      <c r="AD119" s="3"/>
      <c r="AE119" s="27">
        <f t="shared" si="8"/>
        <v>436235</v>
      </c>
      <c r="AF119" s="16"/>
      <c r="AG119" s="3">
        <f t="shared" si="13"/>
        <v>0</v>
      </c>
      <c r="AJ119" s="32" t="s">
        <v>418</v>
      </c>
      <c r="AK119" s="3" t="str">
        <f t="shared" si="14"/>
        <v>Shelby County Educ Srv Ctr</v>
      </c>
      <c r="AL119" s="3" t="str">
        <f>'St of Act-Exp'!A119</f>
        <v>Shelby County Educ Srv Ctr</v>
      </c>
      <c r="AM119" s="16" t="b">
        <f t="shared" si="15"/>
        <v>1</v>
      </c>
      <c r="AO119" s="3" t="str">
        <f t="shared" si="11"/>
        <v>Shelby</v>
      </c>
      <c r="AP119" s="3" t="str">
        <f>'St of Act-Exp'!C119</f>
        <v>Shelby</v>
      </c>
      <c r="AQ119" s="16" t="b">
        <f t="shared" si="12"/>
        <v>1</v>
      </c>
    </row>
    <row r="120" spans="1:43">
      <c r="A120" s="3" t="s">
        <v>275</v>
      </c>
      <c r="B120" s="16"/>
      <c r="C120" s="16" t="s">
        <v>196</v>
      </c>
      <c r="E120" s="16">
        <v>125658</v>
      </c>
      <c r="G120" s="3">
        <v>1695281</v>
      </c>
      <c r="H120" s="3"/>
      <c r="I120" s="3">
        <v>0</v>
      </c>
      <c r="J120" s="3"/>
      <c r="K120" s="8">
        <f t="shared" si="9"/>
        <v>44515</v>
      </c>
      <c r="L120" s="3"/>
      <c r="M120" s="3">
        <v>1739796</v>
      </c>
      <c r="N120" s="3"/>
      <c r="O120" s="8">
        <f t="shared" si="10"/>
        <v>844488</v>
      </c>
      <c r="P120" s="3"/>
      <c r="Q120" s="3">
        <v>803</v>
      </c>
      <c r="R120" s="3"/>
      <c r="S120" s="3">
        <v>845291</v>
      </c>
      <c r="T120" s="3"/>
      <c r="U120" s="3">
        <v>0</v>
      </c>
      <c r="V120" s="3"/>
      <c r="W120" s="3">
        <v>42022</v>
      </c>
      <c r="X120" s="3"/>
      <c r="Y120" s="3">
        <v>0</v>
      </c>
      <c r="Z120" s="3"/>
      <c r="AA120" s="3">
        <v>85078</v>
      </c>
      <c r="AB120" s="3"/>
      <c r="AC120" s="3">
        <v>767405</v>
      </c>
      <c r="AD120" s="3"/>
      <c r="AE120" s="27">
        <f t="shared" si="8"/>
        <v>894505</v>
      </c>
      <c r="AF120" s="16"/>
      <c r="AG120" s="3">
        <f t="shared" si="13"/>
        <v>0</v>
      </c>
      <c r="AJ120" s="3"/>
      <c r="AK120" s="3" t="str">
        <f t="shared" si="14"/>
        <v>South Central Ohio Educ Srv Ctr</v>
      </c>
      <c r="AL120" s="3" t="str">
        <f>'St of Act-Exp'!A120</f>
        <v>South Central Ohio Educ Srv Ctr</v>
      </c>
      <c r="AM120" s="16" t="b">
        <f t="shared" si="15"/>
        <v>1</v>
      </c>
      <c r="AO120" s="3" t="str">
        <f t="shared" si="11"/>
        <v>Scioto</v>
      </c>
      <c r="AP120" s="3" t="str">
        <f>'St of Act-Exp'!C120</f>
        <v>Scioto</v>
      </c>
      <c r="AQ120" s="16" t="b">
        <f t="shared" si="12"/>
        <v>1</v>
      </c>
    </row>
    <row r="121" spans="1:43">
      <c r="A121" s="3" t="s">
        <v>274</v>
      </c>
      <c r="B121" s="3"/>
      <c r="C121" s="3" t="s">
        <v>158</v>
      </c>
      <c r="E121" s="16"/>
      <c r="G121" s="3">
        <v>2544245</v>
      </c>
      <c r="H121" s="3"/>
      <c r="I121" s="3">
        <v>0</v>
      </c>
      <c r="J121" s="3"/>
      <c r="K121" s="8">
        <f>+M121-I121-G121</f>
        <v>102614</v>
      </c>
      <c r="L121" s="3"/>
      <c r="M121" s="3">
        <v>2646859</v>
      </c>
      <c r="N121" s="3"/>
      <c r="O121" s="8">
        <f>+S121-Q121</f>
        <v>215328</v>
      </c>
      <c r="P121" s="3"/>
      <c r="Q121" s="3">
        <v>3388</v>
      </c>
      <c r="R121" s="3"/>
      <c r="S121" s="3">
        <v>218716</v>
      </c>
      <c r="T121" s="3"/>
      <c r="U121" s="3">
        <v>0</v>
      </c>
      <c r="V121" s="3"/>
      <c r="W121" s="3">
        <v>0</v>
      </c>
      <c r="X121" s="3"/>
      <c r="Y121" s="3">
        <v>0</v>
      </c>
      <c r="Z121" s="3"/>
      <c r="AA121" s="3">
        <v>158417</v>
      </c>
      <c r="AB121" s="3"/>
      <c r="AC121" s="3">
        <v>2269726</v>
      </c>
      <c r="AD121" s="3"/>
      <c r="AE121" s="27">
        <f t="shared" si="8"/>
        <v>2428143</v>
      </c>
      <c r="AF121" s="16"/>
      <c r="AG121" s="3">
        <f t="shared" si="13"/>
        <v>0</v>
      </c>
      <c r="AJ121" s="19"/>
      <c r="AK121" s="3" t="str">
        <f t="shared" si="14"/>
        <v>Southern Ohio Educ Srv Ctr</v>
      </c>
      <c r="AL121" s="3" t="str">
        <f>'St of Act-Exp'!A121</f>
        <v>Southern Ohio Educ Srv Ctr</v>
      </c>
      <c r="AM121" s="16" t="b">
        <f t="shared" si="15"/>
        <v>1</v>
      </c>
      <c r="AO121" s="3" t="str">
        <f t="shared" si="11"/>
        <v>Clinton</v>
      </c>
      <c r="AP121" s="3" t="str">
        <f>'St of Act-Exp'!C121</f>
        <v>Clinton</v>
      </c>
      <c r="AQ121" s="16" t="b">
        <f t="shared" si="12"/>
        <v>1</v>
      </c>
    </row>
    <row r="122" spans="1:43">
      <c r="A122" s="16" t="s">
        <v>419</v>
      </c>
      <c r="B122" s="16"/>
      <c r="C122" s="16" t="s">
        <v>199</v>
      </c>
      <c r="E122" s="16">
        <v>49825</v>
      </c>
      <c r="G122" s="3">
        <v>1203984</v>
      </c>
      <c r="H122" s="3"/>
      <c r="I122" s="3">
        <v>0</v>
      </c>
      <c r="J122" s="3"/>
      <c r="K122" s="8">
        <f t="shared" si="9"/>
        <v>2329502</v>
      </c>
      <c r="L122" s="3"/>
      <c r="M122" s="3">
        <v>3533486</v>
      </c>
      <c r="N122" s="3"/>
      <c r="O122" s="8">
        <f t="shared" si="10"/>
        <v>2332093</v>
      </c>
      <c r="P122" s="3"/>
      <c r="Q122" s="3">
        <v>1055930</v>
      </c>
      <c r="R122" s="3"/>
      <c r="S122" s="3">
        <v>3388023</v>
      </c>
      <c r="T122" s="3"/>
      <c r="U122" s="3">
        <v>5715</v>
      </c>
      <c r="V122" s="3"/>
      <c r="W122" s="3">
        <v>0</v>
      </c>
      <c r="X122" s="3"/>
      <c r="Y122" s="3">
        <v>0</v>
      </c>
      <c r="Z122" s="3"/>
      <c r="AA122" s="3">
        <f>43065+94573+1764</f>
        <v>139402</v>
      </c>
      <c r="AB122" s="3"/>
      <c r="AC122" s="3">
        <v>346</v>
      </c>
      <c r="AD122" s="3"/>
      <c r="AE122" s="27">
        <f t="shared" si="8"/>
        <v>145463</v>
      </c>
      <c r="AF122" s="16"/>
      <c r="AG122" s="3">
        <f t="shared" si="13"/>
        <v>0</v>
      </c>
      <c r="AJ122" s="30"/>
      <c r="AK122" s="3" t="str">
        <f t="shared" si="14"/>
        <v xml:space="preserve">Stark County Educ Srv Ctr  </v>
      </c>
      <c r="AL122" s="3" t="str">
        <f>'St of Act-Exp'!A122</f>
        <v xml:space="preserve">Stark County Educ Srv Ctr  </v>
      </c>
      <c r="AM122" s="16" t="b">
        <f t="shared" si="15"/>
        <v>1</v>
      </c>
      <c r="AO122" s="3" t="str">
        <f t="shared" si="11"/>
        <v>Stark</v>
      </c>
      <c r="AP122" s="3" t="str">
        <f>'St of Act-Exp'!C122</f>
        <v>Stark</v>
      </c>
      <c r="AQ122" s="16" t="b">
        <f t="shared" si="12"/>
        <v>1</v>
      </c>
    </row>
    <row r="123" spans="1:43">
      <c r="A123" s="3" t="s">
        <v>420</v>
      </c>
      <c r="B123" s="16"/>
      <c r="C123" s="16" t="s">
        <v>200</v>
      </c>
      <c r="E123" s="16">
        <v>49965</v>
      </c>
      <c r="G123" s="3">
        <v>6119210</v>
      </c>
      <c r="H123" s="3"/>
      <c r="I123" s="3">
        <v>0</v>
      </c>
      <c r="J123" s="3"/>
      <c r="K123" s="8">
        <f t="shared" si="9"/>
        <v>2161590</v>
      </c>
      <c r="L123" s="3"/>
      <c r="M123" s="3">
        <v>8280800</v>
      </c>
      <c r="N123" s="3"/>
      <c r="O123" s="8">
        <f t="shared" si="10"/>
        <v>1322620</v>
      </c>
      <c r="P123" s="3"/>
      <c r="Q123" s="3">
        <v>854440</v>
      </c>
      <c r="R123" s="3"/>
      <c r="S123" s="3">
        <v>2177060</v>
      </c>
      <c r="T123" s="3"/>
      <c r="U123" s="3">
        <v>0</v>
      </c>
      <c r="V123" s="3"/>
      <c r="W123" s="3">
        <v>0</v>
      </c>
      <c r="X123" s="3"/>
      <c r="Y123" s="3">
        <v>250000</v>
      </c>
      <c r="Z123" s="3"/>
      <c r="AA123" s="3">
        <v>56747</v>
      </c>
      <c r="AB123" s="3"/>
      <c r="AC123" s="3">
        <v>5796993</v>
      </c>
      <c r="AD123" s="3"/>
      <c r="AE123" s="27">
        <f t="shared" si="8"/>
        <v>6103740</v>
      </c>
      <c r="AF123" s="16"/>
      <c r="AG123" s="3">
        <f t="shared" si="13"/>
        <v>0</v>
      </c>
      <c r="AJ123" s="32" t="s">
        <v>305</v>
      </c>
      <c r="AK123" s="3" t="str">
        <f t="shared" si="14"/>
        <v>Summit County Educ Srv Ctr</v>
      </c>
      <c r="AL123" s="3" t="str">
        <f>'St of Act-Exp'!A123</f>
        <v>Summit County Educ Srv Ctr</v>
      </c>
      <c r="AM123" s="16" t="b">
        <f t="shared" si="15"/>
        <v>1</v>
      </c>
      <c r="AO123" s="3" t="str">
        <f t="shared" si="11"/>
        <v>Summit</v>
      </c>
      <c r="AP123" s="3" t="str">
        <f>'St of Act-Exp'!C123</f>
        <v>Summit</v>
      </c>
      <c r="AQ123" s="16" t="b">
        <f t="shared" si="12"/>
        <v>1</v>
      </c>
    </row>
    <row r="124" spans="1:43">
      <c r="A124" s="3" t="s">
        <v>207</v>
      </c>
      <c r="B124" s="16"/>
      <c r="C124" s="16" t="s">
        <v>208</v>
      </c>
      <c r="E124" s="16">
        <v>50526</v>
      </c>
      <c r="G124" s="3">
        <v>2350873</v>
      </c>
      <c r="H124" s="3"/>
      <c r="I124" s="3">
        <v>0</v>
      </c>
      <c r="J124" s="3"/>
      <c r="K124" s="8">
        <f t="shared" si="9"/>
        <v>752646</v>
      </c>
      <c r="L124" s="3"/>
      <c r="M124" s="3">
        <v>3103519</v>
      </c>
      <c r="N124" s="3"/>
      <c r="O124" s="8">
        <f t="shared" si="10"/>
        <v>1452870</v>
      </c>
      <c r="P124" s="3"/>
      <c r="Q124" s="3">
        <f>38932+32911</f>
        <v>71843</v>
      </c>
      <c r="R124" s="3"/>
      <c r="S124" s="3">
        <v>1524713</v>
      </c>
      <c r="T124" s="3"/>
      <c r="U124" s="3">
        <v>22359</v>
      </c>
      <c r="V124" s="3"/>
      <c r="W124" s="3">
        <v>0</v>
      </c>
      <c r="X124" s="3"/>
      <c r="Y124" s="3">
        <v>50000</v>
      </c>
      <c r="Z124" s="3"/>
      <c r="AA124" s="3">
        <f>31+32285+393777+168543+269957</f>
        <v>864593</v>
      </c>
      <c r="AB124" s="3"/>
      <c r="AC124" s="3">
        <v>641854</v>
      </c>
      <c r="AD124" s="3"/>
      <c r="AE124" s="27">
        <f t="shared" si="8"/>
        <v>1578806</v>
      </c>
      <c r="AF124" s="16"/>
      <c r="AG124" s="3">
        <f t="shared" si="13"/>
        <v>0</v>
      </c>
      <c r="AJ124" s="32"/>
      <c r="AK124" s="3" t="str">
        <f t="shared" si="14"/>
        <v>Tri-County Educ Srv Ctr</v>
      </c>
      <c r="AL124" s="3" t="str">
        <f>'St of Act-Exp'!A124</f>
        <v>Tri-County Educ Srv Ctr</v>
      </c>
      <c r="AM124" s="16" t="b">
        <f t="shared" si="15"/>
        <v>1</v>
      </c>
      <c r="AO124" s="3" t="str">
        <f t="shared" si="11"/>
        <v>Wayne</v>
      </c>
      <c r="AP124" s="3" t="str">
        <f>'St of Act-Exp'!C124</f>
        <v>Wayne</v>
      </c>
      <c r="AQ124" s="16" t="b">
        <f t="shared" si="12"/>
        <v>1</v>
      </c>
    </row>
    <row r="125" spans="1:43">
      <c r="A125" s="3" t="s">
        <v>422</v>
      </c>
      <c r="B125" s="16"/>
      <c r="C125" s="16" t="s">
        <v>201</v>
      </c>
      <c r="E125" s="16">
        <v>50088</v>
      </c>
      <c r="G125" s="3">
        <v>6546845</v>
      </c>
      <c r="H125" s="3"/>
      <c r="I125" s="3">
        <v>0</v>
      </c>
      <c r="J125" s="3"/>
      <c r="K125" s="8">
        <f t="shared" si="9"/>
        <v>1409568</v>
      </c>
      <c r="L125" s="3"/>
      <c r="M125" s="3">
        <v>7956413</v>
      </c>
      <c r="N125" s="3"/>
      <c r="O125" s="8">
        <f t="shared" si="10"/>
        <v>2732152</v>
      </c>
      <c r="P125" s="3"/>
      <c r="Q125" s="3">
        <f>200+961611</f>
        <v>961811</v>
      </c>
      <c r="R125" s="3"/>
      <c r="S125" s="3">
        <v>3693963</v>
      </c>
      <c r="T125" s="3"/>
      <c r="U125" s="3">
        <f>11870+103</f>
        <v>11973</v>
      </c>
      <c r="V125" s="3"/>
      <c r="W125" s="3">
        <v>0</v>
      </c>
      <c r="X125" s="3"/>
      <c r="Y125" s="3">
        <v>0</v>
      </c>
      <c r="Z125" s="3"/>
      <c r="AA125" s="3">
        <f>11931+41550+2659</f>
        <v>56140</v>
      </c>
      <c r="AB125" s="3"/>
      <c r="AC125" s="3">
        <v>4194337</v>
      </c>
      <c r="AD125" s="3"/>
      <c r="AE125" s="27">
        <f t="shared" si="8"/>
        <v>4262450</v>
      </c>
      <c r="AF125" s="16"/>
      <c r="AG125" s="3">
        <f t="shared" si="13"/>
        <v>0</v>
      </c>
      <c r="AJ125" s="3"/>
      <c r="AK125" s="3" t="str">
        <f t="shared" si="14"/>
        <v>Trumbull County Educ Srv Ctr</v>
      </c>
      <c r="AL125" s="3" t="str">
        <f>'St of Act-Exp'!A125</f>
        <v>Trumbull County Educ Srv Ctr</v>
      </c>
      <c r="AM125" s="16" t="b">
        <f t="shared" si="15"/>
        <v>1</v>
      </c>
      <c r="AO125" s="3" t="str">
        <f t="shared" si="11"/>
        <v>Trumbull</v>
      </c>
      <c r="AP125" s="3" t="str">
        <f>'St of Act-Exp'!C125</f>
        <v>Trumbull</v>
      </c>
      <c r="AQ125" s="16" t="b">
        <f t="shared" si="12"/>
        <v>1</v>
      </c>
    </row>
    <row r="126" spans="1:43" s="72" customFormat="1" hidden="1">
      <c r="A126" s="65" t="s">
        <v>342</v>
      </c>
      <c r="B126" s="66"/>
      <c r="C126" s="66" t="s">
        <v>202</v>
      </c>
      <c r="E126" s="66">
        <v>50260</v>
      </c>
      <c r="G126" s="65"/>
      <c r="H126" s="65"/>
      <c r="I126" s="65"/>
      <c r="J126" s="65"/>
      <c r="K126" s="70">
        <f t="shared" si="9"/>
        <v>0</v>
      </c>
      <c r="L126" s="65"/>
      <c r="M126" s="65"/>
      <c r="N126" s="65"/>
      <c r="O126" s="70">
        <f t="shared" si="10"/>
        <v>0</v>
      </c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73">
        <f t="shared" si="8"/>
        <v>0</v>
      </c>
      <c r="AF126" s="66"/>
      <c r="AG126" s="65">
        <f t="shared" si="13"/>
        <v>0</v>
      </c>
      <c r="AJ126" s="65"/>
      <c r="AK126" s="65" t="str">
        <f t="shared" si="14"/>
        <v>Tuscarawas-Carroll-Harrison Educ Srv Ctr - now East Ctl OH ESC</v>
      </c>
      <c r="AL126" s="65" t="str">
        <f>'St of Act-Exp'!A126</f>
        <v>Tuscarawas-Carroll-Harrison Educ Srv Ctr - now East Ctl OH ESC</v>
      </c>
      <c r="AM126" s="66" t="b">
        <f t="shared" si="15"/>
        <v>1</v>
      </c>
      <c r="AO126" s="65" t="str">
        <f t="shared" si="11"/>
        <v>Tuscarawas</v>
      </c>
      <c r="AP126" s="65" t="str">
        <f>'St of Act-Exp'!C126</f>
        <v>Tuscarawas</v>
      </c>
      <c r="AQ126" s="66" t="b">
        <f t="shared" si="12"/>
        <v>1</v>
      </c>
    </row>
    <row r="127" spans="1:43" s="72" customFormat="1" hidden="1">
      <c r="A127" s="65" t="s">
        <v>424</v>
      </c>
      <c r="B127" s="66"/>
      <c r="C127" s="66" t="s">
        <v>205</v>
      </c>
      <c r="E127" s="66">
        <v>50401</v>
      </c>
      <c r="G127" s="65"/>
      <c r="H127" s="65"/>
      <c r="I127" s="65"/>
      <c r="J127" s="65"/>
      <c r="K127" s="70">
        <f t="shared" si="9"/>
        <v>0</v>
      </c>
      <c r="L127" s="65"/>
      <c r="M127" s="65"/>
      <c r="N127" s="65"/>
      <c r="O127" s="70">
        <f t="shared" si="10"/>
        <v>0</v>
      </c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73">
        <f t="shared" si="8"/>
        <v>0</v>
      </c>
      <c r="AF127" s="66"/>
      <c r="AG127" s="65">
        <f t="shared" si="13"/>
        <v>0</v>
      </c>
      <c r="AJ127" s="80" t="s">
        <v>410</v>
      </c>
      <c r="AK127" s="65" t="str">
        <f t="shared" si="14"/>
        <v>Warren County Educ Srv Ctr (CASH)</v>
      </c>
      <c r="AL127" s="65" t="str">
        <f>'St of Act-Exp'!A127</f>
        <v>Warren County Educ Srv Ctr (CASH)</v>
      </c>
      <c r="AM127" s="66" t="b">
        <f t="shared" si="15"/>
        <v>1</v>
      </c>
      <c r="AO127" s="65" t="str">
        <f t="shared" si="11"/>
        <v>Warren</v>
      </c>
      <c r="AP127" s="65" t="str">
        <f>'St of Act-Exp'!C127</f>
        <v>Warren</v>
      </c>
      <c r="AQ127" s="66" t="b">
        <f t="shared" si="12"/>
        <v>1</v>
      </c>
    </row>
    <row r="128" spans="1:43" s="72" customFormat="1" hidden="1">
      <c r="A128" s="65" t="s">
        <v>343</v>
      </c>
      <c r="B128" s="66"/>
      <c r="C128" s="66" t="s">
        <v>206</v>
      </c>
      <c r="E128" s="66">
        <v>50476</v>
      </c>
      <c r="G128" s="74"/>
      <c r="H128" s="74"/>
      <c r="I128" s="74"/>
      <c r="J128" s="74"/>
      <c r="K128" s="70">
        <f t="shared" ref="K128" si="20">+M128-I128-G128</f>
        <v>0</v>
      </c>
      <c r="L128" s="65"/>
      <c r="M128" s="65"/>
      <c r="N128" s="65"/>
      <c r="O128" s="70">
        <f t="shared" ref="O128" si="21">+S128-Q128</f>
        <v>0</v>
      </c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65"/>
      <c r="AC128" s="74"/>
      <c r="AD128" s="65"/>
      <c r="AE128" s="73">
        <f t="shared" si="8"/>
        <v>0</v>
      </c>
      <c r="AF128" s="66"/>
      <c r="AG128" s="65">
        <f t="shared" si="13"/>
        <v>0</v>
      </c>
      <c r="AJ128" s="66"/>
      <c r="AK128" s="65" t="str">
        <f t="shared" si="14"/>
        <v>Washington Educ Srv Ctr - merged with Ohio Valley ESC</v>
      </c>
      <c r="AL128" s="65" t="str">
        <f>'St of Act-Exp'!A128</f>
        <v>Washington Educ Srv Ctr - merged with Ohio Valley ESC</v>
      </c>
      <c r="AM128" s="66" t="b">
        <f t="shared" si="15"/>
        <v>1</v>
      </c>
      <c r="AO128" s="65" t="str">
        <f t="shared" si="11"/>
        <v>Washington</v>
      </c>
      <c r="AP128" s="65" t="str">
        <f>'St of Act-Exp'!C128</f>
        <v>Washington</v>
      </c>
      <c r="AQ128" s="66" t="b">
        <f t="shared" si="12"/>
        <v>1</v>
      </c>
    </row>
    <row r="129" spans="1:43">
      <c r="A129" s="3" t="s">
        <v>203</v>
      </c>
      <c r="B129" s="16"/>
      <c r="C129" s="16" t="s">
        <v>270</v>
      </c>
      <c r="E129" s="16">
        <v>134999</v>
      </c>
      <c r="G129" s="3">
        <v>565097</v>
      </c>
      <c r="H129" s="3"/>
      <c r="I129" s="3">
        <v>0</v>
      </c>
      <c r="J129" s="3"/>
      <c r="K129" s="8">
        <f>+M129-I129-G129</f>
        <v>151258</v>
      </c>
      <c r="L129" s="3"/>
      <c r="M129" s="3">
        <v>716355</v>
      </c>
      <c r="N129" s="3"/>
      <c r="O129" s="8">
        <f>+S129-Q129</f>
        <v>440407</v>
      </c>
      <c r="P129" s="3"/>
      <c r="Q129" s="3">
        <v>245</v>
      </c>
      <c r="R129" s="3"/>
      <c r="S129" s="3">
        <v>440652</v>
      </c>
      <c r="T129" s="3"/>
      <c r="U129" s="3">
        <v>0</v>
      </c>
      <c r="V129" s="3"/>
      <c r="W129" s="3">
        <v>1213</v>
      </c>
      <c r="X129" s="3"/>
      <c r="Y129" s="3">
        <v>0</v>
      </c>
      <c r="Z129" s="3"/>
      <c r="AA129" s="3">
        <v>218170</v>
      </c>
      <c r="AB129" s="3"/>
      <c r="AC129" s="3">
        <v>56320</v>
      </c>
      <c r="AD129" s="3"/>
      <c r="AE129" s="27">
        <f t="shared" si="8"/>
        <v>275703</v>
      </c>
      <c r="AF129" s="16"/>
      <c r="AG129" s="3">
        <f t="shared" si="13"/>
        <v>0</v>
      </c>
      <c r="AJ129" s="3"/>
      <c r="AK129" s="3" t="str">
        <f t="shared" si="14"/>
        <v>Western Buckeye Educ Srv Ctr</v>
      </c>
      <c r="AL129" s="3" t="str">
        <f>'St of Act-Exp'!A129</f>
        <v>Western Buckeye Educ Srv Ctr</v>
      </c>
      <c r="AM129" s="16" t="b">
        <f t="shared" si="15"/>
        <v>1</v>
      </c>
      <c r="AO129" s="3" t="str">
        <f t="shared" si="11"/>
        <v>Paulding</v>
      </c>
      <c r="AP129" s="3" t="str">
        <f>'St of Act-Exp'!C129</f>
        <v>Paulding</v>
      </c>
      <c r="AQ129" s="16" t="b">
        <f t="shared" si="12"/>
        <v>1</v>
      </c>
    </row>
    <row r="130" spans="1:43">
      <c r="A130" s="3" t="s">
        <v>423</v>
      </c>
      <c r="B130" s="16"/>
      <c r="C130" s="16" t="s">
        <v>209</v>
      </c>
      <c r="E130" s="16">
        <v>50666</v>
      </c>
      <c r="G130" s="3">
        <v>4462091</v>
      </c>
      <c r="H130" s="3"/>
      <c r="I130" s="3">
        <v>0</v>
      </c>
      <c r="J130" s="3"/>
      <c r="K130" s="8">
        <f t="shared" si="9"/>
        <v>276433</v>
      </c>
      <c r="L130" s="3"/>
      <c r="M130" s="3">
        <v>4738524</v>
      </c>
      <c r="N130" s="3"/>
      <c r="O130" s="8">
        <f t="shared" si="10"/>
        <v>1785152</v>
      </c>
      <c r="P130" s="3"/>
      <c r="Q130" s="3">
        <v>2677</v>
      </c>
      <c r="R130" s="3"/>
      <c r="S130" s="3">
        <v>1787829</v>
      </c>
      <c r="T130" s="3"/>
      <c r="U130" s="3">
        <v>5968</v>
      </c>
      <c r="V130" s="3"/>
      <c r="W130" s="3">
        <v>0</v>
      </c>
      <c r="X130" s="3"/>
      <c r="Y130" s="3">
        <v>0</v>
      </c>
      <c r="Z130" s="3"/>
      <c r="AA130" s="3">
        <v>93919</v>
      </c>
      <c r="AB130" s="3"/>
      <c r="AC130" s="3">
        <v>2850808</v>
      </c>
      <c r="AD130" s="3"/>
      <c r="AE130" s="27">
        <f t="shared" si="8"/>
        <v>2950695</v>
      </c>
      <c r="AF130" s="16"/>
      <c r="AG130" s="3">
        <f t="shared" si="13"/>
        <v>0</v>
      </c>
      <c r="AJ130" s="3"/>
      <c r="AK130" s="3" t="str">
        <f t="shared" si="14"/>
        <v>Wood County Educ Srv Ctr</v>
      </c>
      <c r="AL130" s="3" t="str">
        <f>'St of Act-Exp'!A130</f>
        <v>Wood County Educ Srv Ctr</v>
      </c>
      <c r="AM130" s="16" t="b">
        <f t="shared" si="15"/>
        <v>1</v>
      </c>
      <c r="AO130" s="3" t="str">
        <f t="shared" si="11"/>
        <v>Wood</v>
      </c>
      <c r="AP130" s="3" t="str">
        <f>'St of Act-Exp'!C130</f>
        <v>Wood</v>
      </c>
      <c r="AQ130" s="16" t="b">
        <f t="shared" si="12"/>
        <v>1</v>
      </c>
    </row>
    <row r="133" spans="1:43">
      <c r="G133" s="3"/>
      <c r="H133" s="3"/>
      <c r="I133" s="3"/>
      <c r="J133" s="3"/>
      <c r="K133" s="8"/>
      <c r="L133" s="3"/>
      <c r="M133" s="3"/>
      <c r="N133" s="3"/>
      <c r="O133" s="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27"/>
    </row>
  </sheetData>
  <mergeCells count="3">
    <mergeCell ref="G7:K7"/>
    <mergeCell ref="O7:Q7"/>
    <mergeCell ref="U7:AC7"/>
  </mergeCells>
  <phoneticPr fontId="3" type="noConversion"/>
  <pageMargins left="0.9" right="0.75" top="0.5" bottom="0.5" header="0.25" footer="0.25"/>
  <pageSetup scale="80" firstPageNumber="22" pageOrder="overThenDown" orientation="portrait" useFirstPageNumber="1" r:id="rId1"/>
  <headerFooter scaleWithDoc="0" alignWithMargins="0"/>
  <rowBreaks count="1" manualBreakCount="1">
    <brk id="66" max="30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BP134"/>
  <sheetViews>
    <sheetView view="pageBreakPreview" zoomScaleNormal="100" zoomScaleSheetLayoutView="100" workbookViewId="0">
      <pane xSplit="6" ySplit="10" topLeftCell="G56" activePane="bottomRight" state="frozen"/>
      <selection pane="topRight" activeCell="G1" sqref="G1"/>
      <selection pane="bottomLeft" activeCell="A10" sqref="A10"/>
      <selection pane="bottomRight" activeCell="A7" sqref="A7"/>
    </sheetView>
  </sheetViews>
  <sheetFormatPr defaultRowHeight="12"/>
  <cols>
    <col min="1" max="1" width="40.7109375" style="33" customWidth="1"/>
    <col min="2" max="2" width="1.7109375" style="33" customWidth="1"/>
    <col min="3" max="3" width="10.140625" style="33" bestFit="1" customWidth="1"/>
    <col min="4" max="4" width="1.7109375" style="33" hidden="1" customWidth="1"/>
    <col min="5" max="5" width="11.7109375" style="33" hidden="1" customWidth="1"/>
    <col min="6" max="6" width="1.7109375" style="33" customWidth="1"/>
    <col min="7" max="7" width="11.7109375" style="33" customWidth="1"/>
    <col min="8" max="8" width="1.7109375" style="33" customWidth="1"/>
    <col min="9" max="9" width="11.7109375" style="33" customWidth="1"/>
    <col min="10" max="10" width="1.7109375" style="33" customWidth="1"/>
    <col min="11" max="11" width="11.7109375" style="33" customWidth="1"/>
    <col min="12" max="12" width="1.7109375" style="33" customWidth="1"/>
    <col min="13" max="13" width="11.7109375" style="33" customWidth="1"/>
    <col min="14" max="14" width="1.7109375" style="33" customWidth="1"/>
    <col min="15" max="15" width="11.7109375" style="33" customWidth="1"/>
    <col min="16" max="16" width="1.7109375" style="33" customWidth="1"/>
    <col min="17" max="17" width="11.7109375" style="33" customWidth="1"/>
    <col min="18" max="18" width="1.7109375" style="33" customWidth="1"/>
    <col min="19" max="19" width="11.7109375" style="33" customWidth="1"/>
    <col min="20" max="20" width="1.7109375" style="33" customWidth="1"/>
    <col min="21" max="21" width="11.7109375" style="33" customWidth="1"/>
    <col min="22" max="22" width="1.7109375" style="33" customWidth="1"/>
    <col min="23" max="23" width="11.7109375" style="33" customWidth="1"/>
    <col min="24" max="24" width="1.7109375" style="33" customWidth="1"/>
    <col min="25" max="25" width="11.7109375" style="33" customWidth="1"/>
    <col min="26" max="26" width="1.7109375" style="33" hidden="1" customWidth="1"/>
    <col min="27" max="27" width="11.7109375" style="33" hidden="1" customWidth="1"/>
    <col min="28" max="28" width="1.28515625" style="33" customWidth="1"/>
    <col min="29" max="29" width="11.7109375" style="33" customWidth="1"/>
    <col min="30" max="30" width="1.7109375" style="33" customWidth="1"/>
    <col min="31" max="31" width="40.7109375" style="33" customWidth="1"/>
    <col min="32" max="32" width="1.7109375" style="33" customWidth="1"/>
    <col min="33" max="33" width="13.140625" style="33" customWidth="1"/>
    <col min="34" max="34" width="1.28515625" style="33" hidden="1" customWidth="1"/>
    <col min="35" max="35" width="11.7109375" style="33" hidden="1" customWidth="1"/>
    <col min="36" max="36" width="1.28515625" style="33" customWidth="1"/>
    <col min="37" max="37" width="11.7109375" style="33" customWidth="1"/>
    <col min="38" max="38" width="1.28515625" style="33" customWidth="1"/>
    <col min="39" max="39" width="11.7109375" style="33" customWidth="1"/>
    <col min="40" max="40" width="1.28515625" style="33" hidden="1" customWidth="1"/>
    <col min="41" max="41" width="11.7109375" style="33" hidden="1" customWidth="1"/>
    <col min="42" max="42" width="1.28515625" style="33" customWidth="1"/>
    <col min="43" max="43" width="11.7109375" style="33" customWidth="1"/>
    <col min="44" max="44" width="1.7109375" style="33" customWidth="1"/>
    <col min="45" max="45" width="11.7109375" style="33" customWidth="1"/>
    <col min="46" max="46" width="1.7109375" style="33" hidden="1" customWidth="1"/>
    <col min="47" max="47" width="11.7109375" style="33" hidden="1" customWidth="1"/>
    <col min="48" max="48" width="1.7109375" style="33" customWidth="1"/>
    <col min="49" max="49" width="13.42578125" style="33" customWidth="1"/>
    <col min="50" max="51" width="1.7109375" style="33" customWidth="1"/>
    <col min="52" max="52" width="25.28515625" style="33" customWidth="1"/>
    <col min="53" max="53" width="15.42578125" style="33" customWidth="1"/>
    <col min="54" max="54" width="11.7109375" style="33" customWidth="1"/>
    <col min="55" max="55" width="2.7109375" style="33" customWidth="1"/>
    <col min="56" max="56" width="15.7109375" style="16" customWidth="1"/>
    <col min="57" max="57" width="11.85546875" style="16" customWidth="1"/>
    <col min="58" max="58" width="2.42578125" style="33" customWidth="1"/>
    <col min="59" max="60" width="9.140625" style="16"/>
    <col min="61" max="61" width="9.140625" style="33"/>
    <col min="62" max="62" width="9.140625" style="16"/>
    <col min="63" max="16384" width="9.140625" style="33"/>
  </cols>
  <sheetData>
    <row r="1" spans="1:68" s="7" customFormat="1">
      <c r="A1" s="4" t="s">
        <v>98</v>
      </c>
      <c r="B1" s="4"/>
      <c r="C1" s="4"/>
      <c r="D1" s="4"/>
      <c r="E1" s="4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AE1" s="4" t="s">
        <v>98</v>
      </c>
      <c r="AF1" s="4"/>
      <c r="AG1" s="4"/>
    </row>
    <row r="2" spans="1:68" s="7" customFormat="1">
      <c r="A2" s="4" t="s">
        <v>298</v>
      </c>
      <c r="B2" s="4"/>
      <c r="C2" s="4"/>
      <c r="D2" s="4"/>
      <c r="E2" s="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E2" s="4" t="s">
        <v>298</v>
      </c>
      <c r="AF2" s="4"/>
      <c r="AG2" s="4"/>
    </row>
    <row r="3" spans="1:68" s="3" customFormat="1">
      <c r="A3" s="37" t="s">
        <v>266</v>
      </c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E3" s="41" t="s">
        <v>266</v>
      </c>
      <c r="AF3" s="5"/>
      <c r="AG3" s="5"/>
    </row>
    <row r="4" spans="1:68" s="3" customFormat="1">
      <c r="A4" s="7" t="s">
        <v>269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E4" s="7" t="s">
        <v>269</v>
      </c>
      <c r="AF4" s="4"/>
      <c r="AG4" s="4"/>
      <c r="AZ4" s="41" t="s">
        <v>266</v>
      </c>
    </row>
    <row r="5" spans="1:68" s="3" customFormat="1">
      <c r="A5" s="37"/>
    </row>
    <row r="6" spans="1:68" s="3" customFormat="1">
      <c r="A6" s="37"/>
      <c r="AW6" s="11" t="s">
        <v>8</v>
      </c>
    </row>
    <row r="7" spans="1:68" s="11" customFormat="1">
      <c r="A7" s="35" t="s">
        <v>380</v>
      </c>
      <c r="B7" s="2"/>
      <c r="C7" s="2"/>
      <c r="D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43" t="s">
        <v>99</v>
      </c>
      <c r="Z7" s="43"/>
      <c r="AA7" s="43"/>
      <c r="AB7" s="43"/>
      <c r="AC7" s="43"/>
      <c r="AD7" s="7"/>
      <c r="AE7" s="35" t="s">
        <v>380</v>
      </c>
      <c r="AF7" s="4"/>
      <c r="AG7" s="4"/>
      <c r="AH7" s="44"/>
      <c r="AI7" s="44"/>
      <c r="AJ7" s="96"/>
      <c r="AK7" s="43" t="s">
        <v>430</v>
      </c>
      <c r="AL7" s="44"/>
      <c r="AM7" s="44"/>
      <c r="AN7" s="44"/>
      <c r="AO7" s="44"/>
      <c r="AP7" s="44"/>
      <c r="AQ7" s="44"/>
      <c r="AU7" s="11" t="s">
        <v>8</v>
      </c>
      <c r="AW7" s="11" t="s">
        <v>283</v>
      </c>
    </row>
    <row r="8" spans="1:68" s="11" customFormat="1">
      <c r="B8" s="2"/>
      <c r="C8" s="2"/>
      <c r="D8" s="2"/>
      <c r="G8" s="2"/>
      <c r="H8" s="2"/>
      <c r="I8" s="2"/>
      <c r="J8" s="2"/>
      <c r="K8" s="2"/>
      <c r="L8" s="2"/>
      <c r="M8" s="2"/>
      <c r="N8" s="2"/>
      <c r="O8" s="2" t="s">
        <v>28</v>
      </c>
      <c r="P8" s="2"/>
      <c r="Q8" s="2" t="s">
        <v>100</v>
      </c>
      <c r="R8" s="2"/>
      <c r="S8" s="2" t="s">
        <v>30</v>
      </c>
      <c r="T8" s="2"/>
      <c r="U8" s="2"/>
      <c r="V8" s="2"/>
      <c r="W8" s="2"/>
      <c r="X8" s="2"/>
      <c r="AF8" s="2"/>
      <c r="AG8" s="2"/>
      <c r="AK8" s="11" t="s">
        <v>240</v>
      </c>
      <c r="AM8" s="11" t="s">
        <v>229</v>
      </c>
      <c r="AO8" s="11" t="s">
        <v>236</v>
      </c>
      <c r="AQ8" s="11" t="s">
        <v>70</v>
      </c>
      <c r="AU8" s="11" t="s">
        <v>85</v>
      </c>
      <c r="AW8" s="11" t="s">
        <v>284</v>
      </c>
    </row>
    <row r="9" spans="1:68" s="11" customFormat="1">
      <c r="B9" s="2"/>
      <c r="C9" s="2"/>
      <c r="D9" s="2"/>
      <c r="G9" s="2" t="s">
        <v>35</v>
      </c>
      <c r="H9" s="2"/>
      <c r="I9" s="2" t="s">
        <v>101</v>
      </c>
      <c r="J9" s="2"/>
      <c r="K9" s="2"/>
      <c r="L9" s="2"/>
      <c r="M9" s="2" t="s">
        <v>38</v>
      </c>
      <c r="N9" s="2"/>
      <c r="O9" s="2" t="s">
        <v>39</v>
      </c>
      <c r="P9" s="2"/>
      <c r="Q9" s="2" t="s">
        <v>102</v>
      </c>
      <c r="R9" s="2"/>
      <c r="S9" s="2" t="s">
        <v>41</v>
      </c>
      <c r="T9" s="2"/>
      <c r="U9" s="2" t="s">
        <v>70</v>
      </c>
      <c r="V9" s="2"/>
      <c r="W9" s="2" t="s">
        <v>8</v>
      </c>
      <c r="X9" s="2"/>
      <c r="Y9" s="2"/>
      <c r="AC9" s="11" t="s">
        <v>103</v>
      </c>
      <c r="AE9" s="2"/>
      <c r="AF9" s="2"/>
      <c r="AG9" s="2"/>
      <c r="AI9" s="11" t="s">
        <v>104</v>
      </c>
      <c r="AK9" s="11" t="s">
        <v>6</v>
      </c>
      <c r="AM9" s="11" t="s">
        <v>231</v>
      </c>
      <c r="AO9" s="11" t="s">
        <v>237</v>
      </c>
      <c r="AQ9" s="11" t="s">
        <v>105</v>
      </c>
      <c r="AS9" s="11" t="s">
        <v>31</v>
      </c>
      <c r="AU9" s="11" t="s">
        <v>105</v>
      </c>
      <c r="AW9" s="11" t="s">
        <v>285</v>
      </c>
    </row>
    <row r="10" spans="1:68" s="11" customFormat="1">
      <c r="A10" s="84" t="s">
        <v>295</v>
      </c>
      <c r="C10" s="84" t="s">
        <v>12</v>
      </c>
      <c r="E10" s="57" t="s">
        <v>13</v>
      </c>
      <c r="G10" s="84" t="s">
        <v>381</v>
      </c>
      <c r="H10" s="2"/>
      <c r="I10" s="84" t="s">
        <v>106</v>
      </c>
      <c r="J10" s="2"/>
      <c r="K10" s="84" t="s">
        <v>86</v>
      </c>
      <c r="L10" s="2"/>
      <c r="M10" s="84" t="s">
        <v>50</v>
      </c>
      <c r="N10" s="2"/>
      <c r="O10" s="84" t="s">
        <v>51</v>
      </c>
      <c r="P10" s="2"/>
      <c r="Q10" s="84" t="s">
        <v>107</v>
      </c>
      <c r="R10" s="2"/>
      <c r="S10" s="84" t="s">
        <v>52</v>
      </c>
      <c r="T10" s="2"/>
      <c r="U10" s="84" t="s">
        <v>96</v>
      </c>
      <c r="V10" s="2"/>
      <c r="W10" s="84" t="s">
        <v>32</v>
      </c>
      <c r="X10" s="2"/>
      <c r="Y10" s="84" t="s">
        <v>108</v>
      </c>
      <c r="AA10" s="84" t="s">
        <v>109</v>
      </c>
      <c r="AB10" s="2"/>
      <c r="AC10" s="84" t="s">
        <v>110</v>
      </c>
      <c r="AE10" s="84" t="s">
        <v>295</v>
      </c>
      <c r="AG10" s="84" t="s">
        <v>12</v>
      </c>
      <c r="AI10" s="84" t="s">
        <v>110</v>
      </c>
      <c r="AK10" s="84" t="s">
        <v>230</v>
      </c>
      <c r="AM10" s="84" t="s">
        <v>17</v>
      </c>
      <c r="AO10" s="84" t="s">
        <v>117</v>
      </c>
      <c r="AQ10" s="84" t="s">
        <v>111</v>
      </c>
      <c r="AS10" s="84" t="s">
        <v>247</v>
      </c>
      <c r="AU10" s="84" t="s">
        <v>111</v>
      </c>
      <c r="AW10" s="84" t="s">
        <v>247</v>
      </c>
      <c r="BA10" s="86" t="s">
        <v>349</v>
      </c>
      <c r="BB10" s="86" t="s">
        <v>358</v>
      </c>
      <c r="BC10" s="86"/>
      <c r="BD10" s="86" t="s">
        <v>352</v>
      </c>
      <c r="BE10" s="86"/>
      <c r="BF10" s="86"/>
      <c r="BG10" s="86" t="s">
        <v>365</v>
      </c>
      <c r="BH10" s="86" t="s">
        <v>368</v>
      </c>
      <c r="BI10" s="86"/>
      <c r="BJ10" s="86" t="s">
        <v>352</v>
      </c>
      <c r="BK10" s="86"/>
      <c r="BL10" s="86"/>
      <c r="BM10" s="86"/>
      <c r="BN10" s="86"/>
      <c r="BO10" s="86"/>
      <c r="BP10" s="86"/>
    </row>
    <row r="11" spans="1:68" s="11" customFormat="1">
      <c r="A11" s="2"/>
      <c r="C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A11" s="2"/>
      <c r="AB11" s="2"/>
      <c r="AC11" s="2"/>
      <c r="AE11" s="2"/>
      <c r="AG11" s="2"/>
      <c r="AI11" s="2"/>
      <c r="AK11" s="2"/>
      <c r="AM11" s="2"/>
      <c r="AO11" s="2"/>
      <c r="AQ11" s="2"/>
      <c r="AS11" s="2"/>
      <c r="AU11" s="2"/>
      <c r="AW11" s="2"/>
    </row>
    <row r="12" spans="1:68">
      <c r="A12" s="38" t="s">
        <v>264</v>
      </c>
      <c r="AE12" s="38" t="s">
        <v>264</v>
      </c>
    </row>
    <row r="13" spans="1:68">
      <c r="A13" s="38"/>
      <c r="AE13" s="38"/>
    </row>
    <row r="14" spans="1:68">
      <c r="A14" s="3" t="s">
        <v>306</v>
      </c>
      <c r="B14" s="3"/>
      <c r="C14" s="3" t="s">
        <v>272</v>
      </c>
      <c r="G14" s="20">
        <v>3180862</v>
      </c>
      <c r="H14" s="20"/>
      <c r="I14" s="20">
        <v>6528953</v>
      </c>
      <c r="J14" s="20"/>
      <c r="K14" s="20">
        <v>102379</v>
      </c>
      <c r="L14" s="20"/>
      <c r="M14" s="20">
        <v>733890</v>
      </c>
      <c r="N14" s="20"/>
      <c r="O14" s="20">
        <v>0</v>
      </c>
      <c r="P14" s="20"/>
      <c r="Q14" s="20">
        <v>0</v>
      </c>
      <c r="R14" s="20"/>
      <c r="S14" s="20">
        <v>0</v>
      </c>
      <c r="T14" s="20"/>
      <c r="U14" s="20">
        <f>111275+66071</f>
        <v>177346</v>
      </c>
      <c r="V14" s="20"/>
      <c r="W14" s="15">
        <f>SUM(G14:V14)</f>
        <v>10723430</v>
      </c>
      <c r="X14" s="20"/>
      <c r="Y14" s="20">
        <v>0</v>
      </c>
      <c r="Z14" s="20"/>
      <c r="AA14" s="20">
        <v>0</v>
      </c>
      <c r="AB14" s="20"/>
      <c r="AC14" s="20">
        <v>0</v>
      </c>
      <c r="AD14" s="20"/>
      <c r="AE14" s="3" t="s">
        <v>306</v>
      </c>
      <c r="AF14" s="3"/>
      <c r="AG14" s="3" t="s">
        <v>272</v>
      </c>
      <c r="AH14" s="20"/>
      <c r="AI14" s="20">
        <v>0</v>
      </c>
      <c r="AJ14" s="20"/>
      <c r="AK14" s="20">
        <v>0</v>
      </c>
      <c r="AL14" s="20"/>
      <c r="AM14" s="20">
        <v>0</v>
      </c>
      <c r="AN14" s="20"/>
      <c r="AO14" s="20">
        <v>0</v>
      </c>
      <c r="AP14" s="20"/>
      <c r="AQ14" s="20">
        <v>0</v>
      </c>
      <c r="AR14" s="20"/>
      <c r="AS14" s="20">
        <v>0</v>
      </c>
      <c r="AT14" s="20"/>
      <c r="AU14" s="20">
        <f t="shared" ref="AU14:AU45" si="0">SUM(Y14:AS14)</f>
        <v>0</v>
      </c>
      <c r="AV14" s="20"/>
      <c r="AW14" s="20">
        <f t="shared" ref="AW14:AW45" si="1">+AU14+W14</f>
        <v>10723430</v>
      </c>
      <c r="AZ14" s="16" t="s">
        <v>303</v>
      </c>
      <c r="BA14" s="3" t="str">
        <f t="shared" ref="BA14:BA45" si="2">A14</f>
        <v>Apollo Career Center</v>
      </c>
      <c r="BB14" s="3" t="b">
        <f t="shared" ref="BB14:BB45" si="3">A14=AE14</f>
        <v>1</v>
      </c>
      <c r="BC14" s="3"/>
      <c r="BD14" s="3" t="str">
        <f>GenBS!A14</f>
        <v>Apollo Career Center</v>
      </c>
      <c r="BE14" s="16" t="b">
        <f t="shared" ref="BE14:BE45" si="4">BA14=BD14</f>
        <v>1</v>
      </c>
      <c r="BG14" s="3" t="str">
        <f t="shared" ref="BG14:BG45" si="5">C14</f>
        <v>Allen</v>
      </c>
      <c r="BH14" s="16" t="b">
        <f t="shared" ref="BH14:BH45" si="6">C14=AG14</f>
        <v>1</v>
      </c>
      <c r="BJ14" s="16" t="b">
        <f>C14=GenBS!C14</f>
        <v>1</v>
      </c>
    </row>
    <row r="15" spans="1:68">
      <c r="A15" s="3" t="s">
        <v>249</v>
      </c>
      <c r="B15" s="16"/>
      <c r="C15" s="16" t="s">
        <v>146</v>
      </c>
      <c r="E15" s="16">
        <v>62042</v>
      </c>
      <c r="G15" s="3">
        <v>2679494</v>
      </c>
      <c r="H15" s="3"/>
      <c r="I15" s="3">
        <v>3092849</v>
      </c>
      <c r="J15" s="3"/>
      <c r="K15" s="3">
        <v>10218</v>
      </c>
      <c r="L15" s="3"/>
      <c r="M15" s="3">
        <v>55586</v>
      </c>
      <c r="N15" s="3"/>
      <c r="O15" s="3">
        <v>0</v>
      </c>
      <c r="P15" s="3"/>
      <c r="Q15" s="3">
        <v>0</v>
      </c>
      <c r="R15" s="3"/>
      <c r="S15" s="3">
        <v>855</v>
      </c>
      <c r="T15" s="3"/>
      <c r="U15" s="3">
        <f>39691+109635+3025</f>
        <v>152351</v>
      </c>
      <c r="V15" s="3"/>
      <c r="W15" s="8">
        <f>SUM(G15:V15)</f>
        <v>5991353</v>
      </c>
      <c r="X15" s="3"/>
      <c r="Y15" s="3">
        <v>0</v>
      </c>
      <c r="Z15" s="3"/>
      <c r="AA15" s="3">
        <v>0</v>
      </c>
      <c r="AB15" s="3"/>
      <c r="AC15" s="3">
        <v>0</v>
      </c>
      <c r="AD15" s="20"/>
      <c r="AE15" s="3" t="s">
        <v>249</v>
      </c>
      <c r="AF15" s="16"/>
      <c r="AG15" s="16" t="s">
        <v>146</v>
      </c>
      <c r="AH15" s="20"/>
      <c r="AI15" s="20">
        <v>0</v>
      </c>
      <c r="AJ15" s="20"/>
      <c r="AK15" s="3">
        <v>0</v>
      </c>
      <c r="AL15" s="3"/>
      <c r="AM15" s="3">
        <v>0</v>
      </c>
      <c r="AN15" s="3"/>
      <c r="AO15" s="3">
        <v>0</v>
      </c>
      <c r="AP15" s="3"/>
      <c r="AQ15" s="3">
        <v>0</v>
      </c>
      <c r="AR15" s="3"/>
      <c r="AS15" s="3">
        <v>0</v>
      </c>
      <c r="AT15" s="3"/>
      <c r="AU15" s="3">
        <f t="shared" si="0"/>
        <v>0</v>
      </c>
      <c r="AV15" s="3"/>
      <c r="AW15" s="3">
        <f t="shared" si="1"/>
        <v>5991353</v>
      </c>
      <c r="AZ15" s="3"/>
      <c r="BA15" s="3" t="str">
        <f t="shared" si="2"/>
        <v>Ashland County-West Holmes JVSD</v>
      </c>
      <c r="BB15" s="3" t="b">
        <f t="shared" si="3"/>
        <v>1</v>
      </c>
      <c r="BC15" s="3"/>
      <c r="BD15" s="3" t="str">
        <f>GenBS!A15</f>
        <v>Ashland County-West Holmes JVSD</v>
      </c>
      <c r="BE15" s="16" t="b">
        <f t="shared" si="4"/>
        <v>1</v>
      </c>
      <c r="BG15" s="3" t="str">
        <f t="shared" si="5"/>
        <v>Ashland</v>
      </c>
      <c r="BH15" s="16" t="b">
        <f t="shared" si="6"/>
        <v>1</v>
      </c>
      <c r="BJ15" s="16" t="b">
        <f>C15=GenBS!C15</f>
        <v>1</v>
      </c>
    </row>
    <row r="16" spans="1:68">
      <c r="A16" s="3" t="s">
        <v>210</v>
      </c>
      <c r="B16" s="16"/>
      <c r="C16" s="16" t="s">
        <v>147</v>
      </c>
      <c r="E16" s="16">
        <v>50815</v>
      </c>
      <c r="G16" s="3">
        <v>3680673</v>
      </c>
      <c r="H16" s="3"/>
      <c r="I16" s="3">
        <v>6559875</v>
      </c>
      <c r="J16" s="3"/>
      <c r="K16" s="3">
        <v>29027</v>
      </c>
      <c r="L16" s="3"/>
      <c r="M16" s="3">
        <v>94487</v>
      </c>
      <c r="N16" s="3"/>
      <c r="O16" s="3">
        <v>0</v>
      </c>
      <c r="P16" s="3"/>
      <c r="Q16" s="3">
        <v>0</v>
      </c>
      <c r="R16" s="3"/>
      <c r="S16" s="3">
        <v>1178</v>
      </c>
      <c r="T16" s="3"/>
      <c r="U16" s="3">
        <f>57144+23217+75611</f>
        <v>155972</v>
      </c>
      <c r="V16" s="3"/>
      <c r="W16" s="8">
        <f>SUM(G16:V16)</f>
        <v>10521212</v>
      </c>
      <c r="X16" s="3"/>
      <c r="Y16" s="3">
        <v>0</v>
      </c>
      <c r="Z16" s="3"/>
      <c r="AA16" s="3">
        <v>0</v>
      </c>
      <c r="AB16" s="3"/>
      <c r="AC16" s="3">
        <v>0</v>
      </c>
      <c r="AD16" s="3"/>
      <c r="AE16" s="3" t="s">
        <v>210</v>
      </c>
      <c r="AF16" s="16"/>
      <c r="AG16" s="16" t="s">
        <v>147</v>
      </c>
      <c r="AH16" s="3"/>
      <c r="AI16" s="3">
        <v>0</v>
      </c>
      <c r="AJ16" s="3"/>
      <c r="AK16" s="3">
        <v>0</v>
      </c>
      <c r="AL16" s="3"/>
      <c r="AM16" s="3">
        <v>0</v>
      </c>
      <c r="AN16" s="3"/>
      <c r="AO16" s="3">
        <v>0</v>
      </c>
      <c r="AP16" s="3"/>
      <c r="AQ16" s="3">
        <v>0</v>
      </c>
      <c r="AR16" s="3"/>
      <c r="AS16" s="3">
        <v>0</v>
      </c>
      <c r="AT16" s="3"/>
      <c r="AU16" s="3">
        <f t="shared" si="0"/>
        <v>0</v>
      </c>
      <c r="AV16" s="3"/>
      <c r="AW16" s="3">
        <f t="shared" si="1"/>
        <v>10521212</v>
      </c>
      <c r="AZ16" s="3"/>
      <c r="BA16" s="3" t="str">
        <f t="shared" si="2"/>
        <v>Ashtabula County JVSD</v>
      </c>
      <c r="BB16" s="3" t="b">
        <f t="shared" si="3"/>
        <v>1</v>
      </c>
      <c r="BC16" s="3"/>
      <c r="BD16" s="3" t="str">
        <f>GenBS!A16</f>
        <v>Ashtabula County JVSD</v>
      </c>
      <c r="BE16" s="16" t="b">
        <f t="shared" si="4"/>
        <v>1</v>
      </c>
      <c r="BG16" s="3" t="str">
        <f t="shared" si="5"/>
        <v>Ashtabula</v>
      </c>
      <c r="BH16" s="16" t="b">
        <f t="shared" si="6"/>
        <v>1</v>
      </c>
      <c r="BJ16" s="16" t="b">
        <f>C16=GenBS!C16</f>
        <v>1</v>
      </c>
    </row>
    <row r="17" spans="1:62">
      <c r="A17" s="3" t="s">
        <v>325</v>
      </c>
      <c r="B17" s="16"/>
      <c r="C17" s="16" t="s">
        <v>149</v>
      </c>
      <c r="E17" s="16">
        <v>51169</v>
      </c>
      <c r="G17" s="3">
        <v>5689546</v>
      </c>
      <c r="H17" s="3"/>
      <c r="I17" s="3">
        <v>3393886</v>
      </c>
      <c r="J17" s="3"/>
      <c r="K17" s="3">
        <v>38893</v>
      </c>
      <c r="L17" s="3"/>
      <c r="M17" s="3">
        <v>21913</v>
      </c>
      <c r="N17" s="3"/>
      <c r="O17" s="3">
        <v>0</v>
      </c>
      <c r="P17" s="3"/>
      <c r="Q17" s="3">
        <v>0</v>
      </c>
      <c r="R17" s="3"/>
      <c r="S17" s="3">
        <v>0</v>
      </c>
      <c r="T17" s="3"/>
      <c r="U17" s="3">
        <f>75994+22188+22888</f>
        <v>121070</v>
      </c>
      <c r="V17" s="3"/>
      <c r="W17" s="8">
        <f t="shared" ref="W17:W64" si="7">SUM(G17:V17)</f>
        <v>9265308</v>
      </c>
      <c r="X17" s="3"/>
      <c r="Y17" s="3">
        <v>0</v>
      </c>
      <c r="Z17" s="3"/>
      <c r="AA17" s="3">
        <v>0</v>
      </c>
      <c r="AB17" s="3"/>
      <c r="AC17" s="3">
        <v>0</v>
      </c>
      <c r="AD17" s="3"/>
      <c r="AE17" s="3" t="s">
        <v>325</v>
      </c>
      <c r="AF17" s="16"/>
      <c r="AG17" s="16" t="s">
        <v>149</v>
      </c>
      <c r="AH17" s="3"/>
      <c r="AI17" s="3">
        <v>0</v>
      </c>
      <c r="AJ17" s="3"/>
      <c r="AK17" s="3">
        <v>0</v>
      </c>
      <c r="AL17" s="3"/>
      <c r="AM17" s="3">
        <v>0</v>
      </c>
      <c r="AN17" s="3"/>
      <c r="AO17" s="3">
        <v>0</v>
      </c>
      <c r="AP17" s="3"/>
      <c r="AQ17" s="3">
        <v>0</v>
      </c>
      <c r="AR17" s="3"/>
      <c r="AS17" s="3">
        <v>0</v>
      </c>
      <c r="AT17" s="3"/>
      <c r="AU17" s="3">
        <f t="shared" si="0"/>
        <v>0</v>
      </c>
      <c r="AV17" s="3"/>
      <c r="AW17" s="3">
        <f t="shared" si="1"/>
        <v>9265308</v>
      </c>
      <c r="AZ17" s="3"/>
      <c r="BA17" s="3" t="str">
        <f t="shared" si="2"/>
        <v>Auburn VSD</v>
      </c>
      <c r="BB17" s="3" t="b">
        <f t="shared" si="3"/>
        <v>1</v>
      </c>
      <c r="BC17" s="3"/>
      <c r="BD17" s="3" t="str">
        <f>GenBS!A17</f>
        <v>Auburn VSD</v>
      </c>
      <c r="BE17" s="16" t="b">
        <f t="shared" si="4"/>
        <v>1</v>
      </c>
      <c r="BG17" s="3" t="str">
        <f t="shared" si="5"/>
        <v>Lake</v>
      </c>
      <c r="BH17" s="16" t="b">
        <f t="shared" si="6"/>
        <v>1</v>
      </c>
      <c r="BJ17" s="16" t="b">
        <f>C17=GenBS!C17</f>
        <v>1</v>
      </c>
    </row>
    <row r="18" spans="1:62">
      <c r="A18" s="3" t="s">
        <v>326</v>
      </c>
      <c r="B18" s="16"/>
      <c r="C18" s="16" t="s">
        <v>152</v>
      </c>
      <c r="E18" s="16">
        <v>50856</v>
      </c>
      <c r="G18" s="3">
        <v>1545828</v>
      </c>
      <c r="H18" s="3"/>
      <c r="I18" s="3">
        <v>4645791</v>
      </c>
      <c r="J18" s="3"/>
      <c r="K18" s="3">
        <v>6195</v>
      </c>
      <c r="L18" s="3"/>
      <c r="M18" s="3">
        <v>80405</v>
      </c>
      <c r="N18" s="3"/>
      <c r="O18" s="3">
        <v>14343</v>
      </c>
      <c r="P18" s="3"/>
      <c r="Q18" s="3">
        <v>0</v>
      </c>
      <c r="R18" s="3"/>
      <c r="S18" s="3">
        <v>0</v>
      </c>
      <c r="T18" s="3"/>
      <c r="U18" s="3">
        <f>27215+49631+12000</f>
        <v>88846</v>
      </c>
      <c r="V18" s="3"/>
      <c r="W18" s="8">
        <f t="shared" si="7"/>
        <v>6381408</v>
      </c>
      <c r="X18" s="3"/>
      <c r="Y18" s="3">
        <v>0</v>
      </c>
      <c r="Z18" s="3"/>
      <c r="AA18" s="3">
        <v>0</v>
      </c>
      <c r="AB18" s="3"/>
      <c r="AC18" s="3">
        <v>0</v>
      </c>
      <c r="AD18" s="3"/>
      <c r="AE18" s="3" t="s">
        <v>326</v>
      </c>
      <c r="AF18" s="16"/>
      <c r="AG18" s="16" t="s">
        <v>152</v>
      </c>
      <c r="AH18" s="3"/>
      <c r="AI18" s="3">
        <v>0</v>
      </c>
      <c r="AJ18" s="3"/>
      <c r="AK18" s="3">
        <v>0</v>
      </c>
      <c r="AL18" s="3"/>
      <c r="AM18" s="3">
        <v>6274</v>
      </c>
      <c r="AN18" s="3"/>
      <c r="AO18" s="3">
        <v>0</v>
      </c>
      <c r="AP18" s="3"/>
      <c r="AQ18" s="3">
        <v>0</v>
      </c>
      <c r="AR18" s="3"/>
      <c r="AS18" s="3">
        <v>0</v>
      </c>
      <c r="AT18" s="3"/>
      <c r="AU18" s="3">
        <f t="shared" si="0"/>
        <v>6274</v>
      </c>
      <c r="AV18" s="3"/>
      <c r="AW18" s="3">
        <f t="shared" si="1"/>
        <v>6387682</v>
      </c>
      <c r="AZ18" s="3"/>
      <c r="BA18" s="3" t="str">
        <f t="shared" si="2"/>
        <v>Belmont-Harrison VSD</v>
      </c>
      <c r="BB18" s="3" t="b">
        <f t="shared" si="3"/>
        <v>1</v>
      </c>
      <c r="BC18" s="3"/>
      <c r="BD18" s="3" t="str">
        <f>GenBS!A18</f>
        <v>Belmont-Harrison VSD</v>
      </c>
      <c r="BE18" s="16" t="b">
        <f t="shared" si="4"/>
        <v>1</v>
      </c>
      <c r="BG18" s="3" t="str">
        <f t="shared" si="5"/>
        <v>Belmont</v>
      </c>
      <c r="BH18" s="16" t="b">
        <f t="shared" si="6"/>
        <v>1</v>
      </c>
      <c r="BJ18" s="16" t="b">
        <f>C18=GenBS!C18</f>
        <v>1</v>
      </c>
    </row>
    <row r="19" spans="1:62">
      <c r="A19" s="3" t="s">
        <v>227</v>
      </c>
      <c r="B19" s="16"/>
      <c r="C19" s="16" t="s">
        <v>202</v>
      </c>
      <c r="E19" s="16">
        <v>51656</v>
      </c>
      <c r="G19" s="3">
        <v>4275374</v>
      </c>
      <c r="H19" s="3"/>
      <c r="I19" s="3">
        <f>652+7688568</f>
        <v>7689220</v>
      </c>
      <c r="J19" s="3"/>
      <c r="K19" s="3">
        <v>68620</v>
      </c>
      <c r="L19" s="3"/>
      <c r="M19" s="3">
        <v>0</v>
      </c>
      <c r="N19" s="3"/>
      <c r="O19" s="3">
        <v>0</v>
      </c>
      <c r="P19" s="3"/>
      <c r="Q19" s="3">
        <v>0</v>
      </c>
      <c r="R19" s="3"/>
      <c r="S19" s="3">
        <v>0</v>
      </c>
      <c r="T19" s="3"/>
      <c r="U19" s="3">
        <f>51088+212639+20290</f>
        <v>284017</v>
      </c>
      <c r="V19" s="3"/>
      <c r="W19" s="8">
        <f t="shared" si="7"/>
        <v>12317231</v>
      </c>
      <c r="X19" s="3"/>
      <c r="Y19" s="3">
        <v>0</v>
      </c>
      <c r="Z19" s="3"/>
      <c r="AA19" s="3">
        <v>0</v>
      </c>
      <c r="AB19" s="3"/>
      <c r="AC19" s="3">
        <v>0</v>
      </c>
      <c r="AD19" s="3"/>
      <c r="AE19" s="3" t="s">
        <v>227</v>
      </c>
      <c r="AF19" s="16"/>
      <c r="AG19" s="16" t="s">
        <v>202</v>
      </c>
      <c r="AH19" s="3"/>
      <c r="AI19" s="3">
        <v>0</v>
      </c>
      <c r="AJ19" s="3"/>
      <c r="AK19" s="3">
        <v>101063</v>
      </c>
      <c r="AL19" s="3"/>
      <c r="AM19" s="3">
        <v>6658</v>
      </c>
      <c r="AN19" s="3"/>
      <c r="AO19" s="3">
        <v>0</v>
      </c>
      <c r="AP19" s="3"/>
      <c r="AQ19" s="3">
        <v>0</v>
      </c>
      <c r="AR19" s="3"/>
      <c r="AS19" s="3">
        <v>0</v>
      </c>
      <c r="AT19" s="3"/>
      <c r="AU19" s="3">
        <f t="shared" si="0"/>
        <v>107721</v>
      </c>
      <c r="AV19" s="3"/>
      <c r="AW19" s="3">
        <f t="shared" si="1"/>
        <v>12424952</v>
      </c>
      <c r="AZ19" s="3"/>
      <c r="BA19" s="3" t="str">
        <f t="shared" si="2"/>
        <v>Buckeye JVSD</v>
      </c>
      <c r="BB19" s="3" t="b">
        <f t="shared" si="3"/>
        <v>1</v>
      </c>
      <c r="BC19" s="3"/>
      <c r="BD19" s="3" t="str">
        <f>GenBS!A19</f>
        <v>Buckeye JVSD</v>
      </c>
      <c r="BE19" s="16" t="b">
        <f t="shared" si="4"/>
        <v>1</v>
      </c>
      <c r="BG19" s="3" t="str">
        <f t="shared" si="5"/>
        <v>Tuscarawas</v>
      </c>
      <c r="BH19" s="16" t="b">
        <f t="shared" si="6"/>
        <v>1</v>
      </c>
      <c r="BJ19" s="16" t="b">
        <f>C19=GenBS!C19</f>
        <v>1</v>
      </c>
    </row>
    <row r="20" spans="1:62">
      <c r="A20" s="3" t="s">
        <v>287</v>
      </c>
      <c r="B20" s="16"/>
      <c r="C20" s="16" t="s">
        <v>150</v>
      </c>
      <c r="E20" s="16">
        <v>50880</v>
      </c>
      <c r="G20" s="3">
        <v>13265817</v>
      </c>
      <c r="H20" s="3"/>
      <c r="I20" s="3">
        <v>25838063</v>
      </c>
      <c r="J20" s="3"/>
      <c r="K20" s="3">
        <v>25935</v>
      </c>
      <c r="L20" s="3"/>
      <c r="M20" s="3">
        <v>766682</v>
      </c>
      <c r="N20" s="3"/>
      <c r="O20" s="3">
        <v>0</v>
      </c>
      <c r="P20" s="3"/>
      <c r="Q20" s="3">
        <v>0</v>
      </c>
      <c r="R20" s="3"/>
      <c r="S20" s="3">
        <v>0</v>
      </c>
      <c r="T20" s="3"/>
      <c r="U20" s="3">
        <v>221069</v>
      </c>
      <c r="V20" s="3"/>
      <c r="W20" s="8">
        <f t="shared" si="7"/>
        <v>40117566</v>
      </c>
      <c r="X20" s="3"/>
      <c r="Y20" s="3">
        <v>0</v>
      </c>
      <c r="Z20" s="3"/>
      <c r="AA20" s="3">
        <v>0</v>
      </c>
      <c r="AB20" s="3"/>
      <c r="AC20" s="3">
        <v>0</v>
      </c>
      <c r="AD20" s="3"/>
      <c r="AE20" s="3" t="s">
        <v>287</v>
      </c>
      <c r="AF20" s="16"/>
      <c r="AG20" s="16" t="s">
        <v>150</v>
      </c>
      <c r="AH20" s="3"/>
      <c r="AI20" s="3">
        <v>0</v>
      </c>
      <c r="AJ20" s="3"/>
      <c r="AK20" s="3">
        <v>0</v>
      </c>
      <c r="AL20" s="3"/>
      <c r="AM20" s="3">
        <v>0</v>
      </c>
      <c r="AN20" s="3"/>
      <c r="AO20" s="3">
        <v>0</v>
      </c>
      <c r="AP20" s="3"/>
      <c r="AQ20" s="3">
        <v>0</v>
      </c>
      <c r="AR20" s="3"/>
      <c r="AS20" s="3">
        <v>0</v>
      </c>
      <c r="AT20" s="3"/>
      <c r="AU20" s="3">
        <f t="shared" si="0"/>
        <v>0</v>
      </c>
      <c r="AV20" s="3"/>
      <c r="AW20" s="3">
        <f t="shared" si="1"/>
        <v>40117566</v>
      </c>
      <c r="AZ20" s="3"/>
      <c r="BA20" s="3" t="str">
        <f t="shared" si="2"/>
        <v>Butler Technology and Career Development</v>
      </c>
      <c r="BB20" s="3" t="b">
        <f t="shared" si="3"/>
        <v>1</v>
      </c>
      <c r="BC20" s="3"/>
      <c r="BD20" s="3" t="str">
        <f>GenBS!A20</f>
        <v>Butler Technology and Career Development</v>
      </c>
      <c r="BE20" s="16" t="b">
        <f t="shared" si="4"/>
        <v>1</v>
      </c>
      <c r="BG20" s="3" t="str">
        <f t="shared" si="5"/>
        <v>Butler</v>
      </c>
      <c r="BH20" s="16" t="b">
        <f t="shared" si="6"/>
        <v>1</v>
      </c>
      <c r="BJ20" s="16" t="b">
        <f>C20=GenBS!C20</f>
        <v>1</v>
      </c>
    </row>
    <row r="21" spans="1:62">
      <c r="A21" s="3" t="s">
        <v>291</v>
      </c>
      <c r="B21" s="16"/>
      <c r="C21" s="16" t="s">
        <v>176</v>
      </c>
      <c r="E21" s="16">
        <v>51201</v>
      </c>
      <c r="G21" s="3">
        <v>6557761</v>
      </c>
      <c r="H21" s="3"/>
      <c r="I21" s="3">
        <v>5835113</v>
      </c>
      <c r="J21" s="3"/>
      <c r="K21" s="3">
        <v>9377</v>
      </c>
      <c r="L21" s="3"/>
      <c r="M21" s="3">
        <v>161043</v>
      </c>
      <c r="N21" s="3"/>
      <c r="O21" s="3">
        <v>9291</v>
      </c>
      <c r="P21" s="3"/>
      <c r="Q21" s="3">
        <v>0</v>
      </c>
      <c r="R21" s="3"/>
      <c r="S21" s="3">
        <v>1500</v>
      </c>
      <c r="T21" s="3"/>
      <c r="U21" s="3">
        <f>88824+80368</f>
        <v>169192</v>
      </c>
      <c r="V21" s="3"/>
      <c r="W21" s="8">
        <f>SUM(G21:V21)</f>
        <v>12743277</v>
      </c>
      <c r="X21" s="3"/>
      <c r="Y21" s="3">
        <v>0</v>
      </c>
      <c r="Z21" s="3"/>
      <c r="AA21" s="3">
        <v>0</v>
      </c>
      <c r="AB21" s="3"/>
      <c r="AC21" s="3">
        <v>0</v>
      </c>
      <c r="AD21" s="3"/>
      <c r="AE21" s="3" t="s">
        <v>291</v>
      </c>
      <c r="AF21" s="16"/>
      <c r="AG21" s="16" t="s">
        <v>176</v>
      </c>
      <c r="AH21" s="3"/>
      <c r="AI21" s="3">
        <v>0</v>
      </c>
      <c r="AJ21" s="3"/>
      <c r="AK21" s="3">
        <v>0</v>
      </c>
      <c r="AL21" s="3"/>
      <c r="AM21" s="3">
        <v>9775</v>
      </c>
      <c r="AN21" s="3"/>
      <c r="AO21" s="3">
        <v>0</v>
      </c>
      <c r="AP21" s="3"/>
      <c r="AQ21" s="3">
        <v>0</v>
      </c>
      <c r="AR21" s="3"/>
      <c r="AS21" s="3">
        <v>0</v>
      </c>
      <c r="AT21" s="3"/>
      <c r="AU21" s="3">
        <f t="shared" si="0"/>
        <v>9775</v>
      </c>
      <c r="AV21" s="3"/>
      <c r="AW21" s="3">
        <f t="shared" si="1"/>
        <v>12753052</v>
      </c>
      <c r="AZ21" s="3"/>
      <c r="BA21" s="3" t="str">
        <f t="shared" si="2"/>
        <v>Career and Technology Education Centers of Licking County</v>
      </c>
      <c r="BB21" s="3" t="b">
        <f t="shared" si="3"/>
        <v>1</v>
      </c>
      <c r="BC21" s="3"/>
      <c r="BD21" s="3" t="str">
        <f>GenBS!A21</f>
        <v>Career and Technology Education Centers of Licking County</v>
      </c>
      <c r="BE21" s="16" t="b">
        <f>BA21=BD21</f>
        <v>1</v>
      </c>
      <c r="BG21" s="3" t="str">
        <f t="shared" si="5"/>
        <v>Licking</v>
      </c>
      <c r="BH21" s="16" t="b">
        <f t="shared" si="6"/>
        <v>1</v>
      </c>
      <c r="BJ21" s="16" t="b">
        <f>C21=GenBS!C21</f>
        <v>1</v>
      </c>
    </row>
    <row r="22" spans="1:62" s="72" customFormat="1" hidden="1">
      <c r="A22" s="65" t="s">
        <v>289</v>
      </c>
      <c r="B22" s="66"/>
      <c r="C22" s="66" t="s">
        <v>220</v>
      </c>
      <c r="E22" s="66">
        <v>63511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70">
        <f t="shared" si="7"/>
        <v>0</v>
      </c>
      <c r="X22" s="65"/>
      <c r="Y22" s="65"/>
      <c r="Z22" s="65"/>
      <c r="AA22" s="65"/>
      <c r="AB22" s="65"/>
      <c r="AC22" s="65"/>
      <c r="AD22" s="65"/>
      <c r="AE22" s="65" t="s">
        <v>289</v>
      </c>
      <c r="AF22" s="66"/>
      <c r="AG22" s="66" t="s">
        <v>220</v>
      </c>
      <c r="AH22" s="65"/>
      <c r="AI22" s="65"/>
      <c r="AJ22" s="65"/>
      <c r="AK22" s="65"/>
      <c r="AL22" s="65"/>
      <c r="AM22" s="65"/>
      <c r="AN22" s="65"/>
      <c r="AO22" s="3">
        <v>0</v>
      </c>
      <c r="AP22" s="65"/>
      <c r="AQ22" s="65"/>
      <c r="AR22" s="65"/>
      <c r="AS22" s="65"/>
      <c r="AT22" s="65"/>
      <c r="AU22" s="65">
        <f t="shared" si="0"/>
        <v>0</v>
      </c>
      <c r="AV22" s="65"/>
      <c r="AW22" s="65">
        <f t="shared" si="1"/>
        <v>0</v>
      </c>
      <c r="AZ22" s="66" t="s">
        <v>304</v>
      </c>
      <c r="BA22" s="65" t="str">
        <f t="shared" si="2"/>
        <v>Central Ohio JVSD- now Tolles Career &amp; Technical Center since 2005</v>
      </c>
      <c r="BB22" s="65" t="b">
        <f t="shared" si="3"/>
        <v>1</v>
      </c>
      <c r="BC22" s="65"/>
      <c r="BD22" s="65" t="str">
        <f>GenBS!A22</f>
        <v>Central Ohio JVSD- now Tolles Career &amp; Technical Center since 2005</v>
      </c>
      <c r="BE22" s="66" t="b">
        <f t="shared" si="4"/>
        <v>1</v>
      </c>
      <c r="BG22" s="65" t="str">
        <f t="shared" si="5"/>
        <v>Madison</v>
      </c>
      <c r="BH22" s="66" t="b">
        <f t="shared" si="6"/>
        <v>1</v>
      </c>
      <c r="BJ22" s="66" t="b">
        <f>C22=GenBS!C22</f>
        <v>1</v>
      </c>
    </row>
    <row r="23" spans="1:62">
      <c r="A23" s="3" t="s">
        <v>288</v>
      </c>
      <c r="B23" s="16"/>
      <c r="C23" s="16" t="s">
        <v>159</v>
      </c>
      <c r="E23" s="16">
        <v>50906</v>
      </c>
      <c r="G23" s="3">
        <v>1796636</v>
      </c>
      <c r="H23" s="3"/>
      <c r="I23" s="3">
        <f>3936510+38659</f>
        <v>3975169</v>
      </c>
      <c r="J23" s="3"/>
      <c r="K23" s="3">
        <v>0</v>
      </c>
      <c r="L23" s="3"/>
      <c r="M23" s="3">
        <f>247947+55114</f>
        <v>303061</v>
      </c>
      <c r="N23" s="3"/>
      <c r="O23" s="3">
        <v>1462</v>
      </c>
      <c r="P23" s="3"/>
      <c r="Q23" s="3">
        <v>0</v>
      </c>
      <c r="R23" s="3"/>
      <c r="S23" s="3">
        <v>0</v>
      </c>
      <c r="T23" s="3"/>
      <c r="U23" s="3">
        <f>5296+600+61845</f>
        <v>67741</v>
      </c>
      <c r="V23" s="3"/>
      <c r="W23" s="8">
        <f t="shared" si="7"/>
        <v>6144069</v>
      </c>
      <c r="X23" s="3"/>
      <c r="Y23" s="3">
        <v>0</v>
      </c>
      <c r="Z23" s="3"/>
      <c r="AA23" s="3">
        <v>0</v>
      </c>
      <c r="AB23" s="3"/>
      <c r="AC23" s="3">
        <v>0</v>
      </c>
      <c r="AD23" s="3"/>
      <c r="AE23" s="3" t="s">
        <v>288</v>
      </c>
      <c r="AF23" s="16"/>
      <c r="AG23" s="16" t="s">
        <v>159</v>
      </c>
      <c r="AH23" s="3"/>
      <c r="AI23" s="3">
        <v>0</v>
      </c>
      <c r="AJ23" s="3"/>
      <c r="AK23" s="3">
        <v>0</v>
      </c>
      <c r="AL23" s="3"/>
      <c r="AM23" s="3">
        <v>0</v>
      </c>
      <c r="AN23" s="3"/>
      <c r="AO23" s="3">
        <v>0</v>
      </c>
      <c r="AP23" s="3"/>
      <c r="AQ23" s="3">
        <v>0</v>
      </c>
      <c r="AR23" s="3"/>
      <c r="AS23" s="3">
        <v>0</v>
      </c>
      <c r="AT23" s="3"/>
      <c r="AU23" s="3">
        <f t="shared" si="0"/>
        <v>0</v>
      </c>
      <c r="AV23" s="3"/>
      <c r="AW23" s="3">
        <f t="shared" si="1"/>
        <v>6144069</v>
      </c>
      <c r="AZ23" s="3"/>
      <c r="BA23" s="3" t="str">
        <f t="shared" si="2"/>
        <v>Columbiana County Career &amp; Technical Center</v>
      </c>
      <c r="BB23" s="3" t="b">
        <f t="shared" si="3"/>
        <v>1</v>
      </c>
      <c r="BC23" s="3"/>
      <c r="BD23" s="3" t="str">
        <f>GenBS!A23</f>
        <v>Columbiana County Career &amp; Technical Center</v>
      </c>
      <c r="BE23" s="16" t="b">
        <f t="shared" si="4"/>
        <v>1</v>
      </c>
      <c r="BG23" s="3" t="str">
        <f t="shared" si="5"/>
        <v>Columbiana</v>
      </c>
      <c r="BH23" s="16" t="b">
        <f t="shared" si="6"/>
        <v>1</v>
      </c>
      <c r="BJ23" s="16" t="b">
        <f>C23=GenBS!C23</f>
        <v>1</v>
      </c>
    </row>
    <row r="24" spans="1:62">
      <c r="A24" s="3" t="s">
        <v>253</v>
      </c>
      <c r="B24" s="16"/>
      <c r="C24" s="16" t="s">
        <v>213</v>
      </c>
      <c r="E24" s="16">
        <v>65227</v>
      </c>
      <c r="G24" s="3">
        <v>1234511</v>
      </c>
      <c r="H24" s="3"/>
      <c r="I24" s="3">
        <v>2362088</v>
      </c>
      <c r="J24" s="3"/>
      <c r="K24" s="3">
        <v>3446</v>
      </c>
      <c r="L24" s="3"/>
      <c r="M24" s="3">
        <v>7427</v>
      </c>
      <c r="N24" s="3"/>
      <c r="O24" s="3">
        <v>0</v>
      </c>
      <c r="P24" s="3"/>
      <c r="Q24" s="3">
        <v>0</v>
      </c>
      <c r="R24" s="3"/>
      <c r="S24" s="3">
        <v>2750</v>
      </c>
      <c r="T24" s="3"/>
      <c r="U24" s="3">
        <f>9375+18312+8188</f>
        <v>35875</v>
      </c>
      <c r="V24" s="3"/>
      <c r="W24" s="8">
        <f t="shared" si="7"/>
        <v>3646097</v>
      </c>
      <c r="X24" s="3"/>
      <c r="Y24" s="3">
        <v>0</v>
      </c>
      <c r="Z24" s="3"/>
      <c r="AA24" s="3">
        <v>0</v>
      </c>
      <c r="AB24" s="3"/>
      <c r="AC24" s="3">
        <v>0</v>
      </c>
      <c r="AD24" s="3"/>
      <c r="AE24" s="3" t="s">
        <v>253</v>
      </c>
      <c r="AF24" s="16"/>
      <c r="AG24" s="16" t="s">
        <v>213</v>
      </c>
      <c r="AH24" s="3"/>
      <c r="AI24" s="3">
        <v>0</v>
      </c>
      <c r="AJ24" s="3"/>
      <c r="AK24" s="3">
        <v>0</v>
      </c>
      <c r="AL24" s="3"/>
      <c r="AM24" s="3">
        <v>0</v>
      </c>
      <c r="AN24" s="3"/>
      <c r="AO24" s="3">
        <v>0</v>
      </c>
      <c r="AP24" s="3"/>
      <c r="AQ24" s="3">
        <v>0</v>
      </c>
      <c r="AR24" s="3"/>
      <c r="AS24" s="3">
        <v>0</v>
      </c>
      <c r="AT24" s="3"/>
      <c r="AU24" s="3">
        <f t="shared" si="0"/>
        <v>0</v>
      </c>
      <c r="AV24" s="3"/>
      <c r="AW24" s="3">
        <f t="shared" si="1"/>
        <v>3646097</v>
      </c>
      <c r="AZ24" s="3"/>
      <c r="BA24" s="3" t="str">
        <f t="shared" si="2"/>
        <v>Coshocton County Career Center</v>
      </c>
      <c r="BB24" s="3" t="b">
        <f t="shared" si="3"/>
        <v>1</v>
      </c>
      <c r="BC24" s="3"/>
      <c r="BD24" s="3" t="str">
        <f>GenBS!A24</f>
        <v>Coshocton County Career Center</v>
      </c>
      <c r="BE24" s="16" t="b">
        <f t="shared" si="4"/>
        <v>1</v>
      </c>
      <c r="BG24" s="3" t="str">
        <f t="shared" si="5"/>
        <v>Coshocton</v>
      </c>
      <c r="BH24" s="16" t="b">
        <f t="shared" si="6"/>
        <v>1</v>
      </c>
      <c r="BJ24" s="16" t="b">
        <f>C24=GenBS!C24</f>
        <v>1</v>
      </c>
    </row>
    <row r="25" spans="1:62">
      <c r="A25" s="3" t="s">
        <v>251</v>
      </c>
      <c r="B25" s="16"/>
      <c r="C25" s="16" t="s">
        <v>160</v>
      </c>
      <c r="E25" s="16">
        <v>50922</v>
      </c>
      <c r="G25" s="3">
        <v>11084417</v>
      </c>
      <c r="H25" s="3"/>
      <c r="I25" s="3">
        <f>4264381</f>
        <v>4264381</v>
      </c>
      <c r="J25" s="3"/>
      <c r="K25" s="3">
        <v>46802</v>
      </c>
      <c r="L25" s="3"/>
      <c r="M25" s="3">
        <f>81749+66132</f>
        <v>147881</v>
      </c>
      <c r="N25" s="3"/>
      <c r="O25" s="3">
        <v>0</v>
      </c>
      <c r="P25" s="3"/>
      <c r="Q25" s="3">
        <v>6</v>
      </c>
      <c r="R25" s="3"/>
      <c r="S25" s="3">
        <v>9244</v>
      </c>
      <c r="T25" s="3"/>
      <c r="U25" s="3">
        <f>283341+67804+2233+30292</f>
        <v>383670</v>
      </c>
      <c r="V25" s="3"/>
      <c r="W25" s="8">
        <f t="shared" si="7"/>
        <v>15936401</v>
      </c>
      <c r="X25" s="3"/>
      <c r="Y25" s="3">
        <v>0</v>
      </c>
      <c r="Z25" s="3"/>
      <c r="AA25" s="3">
        <v>0</v>
      </c>
      <c r="AB25" s="3"/>
      <c r="AC25" s="3">
        <v>0</v>
      </c>
      <c r="AD25" s="3"/>
      <c r="AE25" s="3" t="s">
        <v>251</v>
      </c>
      <c r="AF25" s="16"/>
      <c r="AG25" s="16" t="s">
        <v>160</v>
      </c>
      <c r="AH25" s="3"/>
      <c r="AI25" s="3">
        <v>0</v>
      </c>
      <c r="AJ25" s="3"/>
      <c r="AK25" s="3">
        <v>288951</v>
      </c>
      <c r="AL25" s="3"/>
      <c r="AM25" s="3">
        <v>0</v>
      </c>
      <c r="AN25" s="3"/>
      <c r="AO25" s="3">
        <v>0</v>
      </c>
      <c r="AP25" s="3"/>
      <c r="AQ25" s="3">
        <v>0</v>
      </c>
      <c r="AR25" s="3"/>
      <c r="AS25" s="3">
        <v>0</v>
      </c>
      <c r="AT25" s="3"/>
      <c r="AU25" s="3">
        <f t="shared" si="0"/>
        <v>288951</v>
      </c>
      <c r="AV25" s="3"/>
      <c r="AW25" s="3">
        <f t="shared" si="1"/>
        <v>16225352</v>
      </c>
      <c r="AZ25" s="3"/>
      <c r="BA25" s="3" t="str">
        <f t="shared" si="2"/>
        <v>Cuyahoga Valley Career Center</v>
      </c>
      <c r="BB25" s="3" t="b">
        <f t="shared" si="3"/>
        <v>1</v>
      </c>
      <c r="BC25" s="3"/>
      <c r="BD25" s="3" t="str">
        <f>GenBS!A25</f>
        <v>Cuyahoga Valley Career Center</v>
      </c>
      <c r="BE25" s="16" t="b">
        <f t="shared" si="4"/>
        <v>1</v>
      </c>
      <c r="BG25" s="3" t="str">
        <f t="shared" si="5"/>
        <v>Cuyahoga</v>
      </c>
      <c r="BH25" s="16" t="b">
        <f t="shared" si="6"/>
        <v>1</v>
      </c>
      <c r="BJ25" s="16" t="b">
        <f>C25=GenBS!C25</f>
        <v>1</v>
      </c>
    </row>
    <row r="26" spans="1:62">
      <c r="A26" s="3" t="s">
        <v>250</v>
      </c>
      <c r="B26" s="16"/>
      <c r="C26" s="16" t="s">
        <v>162</v>
      </c>
      <c r="E26" s="16">
        <v>50989</v>
      </c>
      <c r="G26" s="3">
        <v>9494511</v>
      </c>
      <c r="H26" s="3"/>
      <c r="I26" s="3">
        <f>4110277+16650</f>
        <v>4126927</v>
      </c>
      <c r="J26" s="3"/>
      <c r="K26" s="3">
        <v>272346</v>
      </c>
      <c r="L26" s="3"/>
      <c r="M26" s="3">
        <f>1482946+57410</f>
        <v>1540356</v>
      </c>
      <c r="N26" s="3"/>
      <c r="O26" s="3">
        <v>5716</v>
      </c>
      <c r="P26" s="3"/>
      <c r="Q26" s="3">
        <v>8009</v>
      </c>
      <c r="R26" s="3"/>
      <c r="S26" s="3">
        <v>801</v>
      </c>
      <c r="T26" s="3"/>
      <c r="U26" s="3">
        <f>18178+138561+40154</f>
        <v>196893</v>
      </c>
      <c r="V26" s="3"/>
      <c r="W26" s="8">
        <f t="shared" si="7"/>
        <v>15645559</v>
      </c>
      <c r="X26" s="3"/>
      <c r="Y26" s="3">
        <v>0</v>
      </c>
      <c r="Z26" s="3"/>
      <c r="AA26" s="3">
        <v>0</v>
      </c>
      <c r="AB26" s="3"/>
      <c r="AC26" s="3">
        <v>0</v>
      </c>
      <c r="AD26" s="3"/>
      <c r="AE26" s="3" t="s">
        <v>250</v>
      </c>
      <c r="AF26" s="16"/>
      <c r="AG26" s="16" t="s">
        <v>162</v>
      </c>
      <c r="AH26" s="3"/>
      <c r="AI26" s="3">
        <v>0</v>
      </c>
      <c r="AJ26" s="3"/>
      <c r="AK26" s="3">
        <v>0</v>
      </c>
      <c r="AL26" s="3"/>
      <c r="AM26" s="3">
        <v>0</v>
      </c>
      <c r="AN26" s="3"/>
      <c r="AO26" s="3">
        <v>0</v>
      </c>
      <c r="AP26" s="3"/>
      <c r="AQ26" s="3">
        <v>0</v>
      </c>
      <c r="AR26" s="3"/>
      <c r="AS26" s="3">
        <v>0</v>
      </c>
      <c r="AT26" s="3"/>
      <c r="AU26" s="3">
        <f t="shared" si="0"/>
        <v>0</v>
      </c>
      <c r="AV26" s="3"/>
      <c r="AW26" s="3">
        <f t="shared" si="1"/>
        <v>15645559</v>
      </c>
      <c r="AZ26" s="3"/>
      <c r="BA26" s="3" t="str">
        <f t="shared" si="2"/>
        <v>Delaware Area Career Center</v>
      </c>
      <c r="BB26" s="3" t="b">
        <f t="shared" si="3"/>
        <v>1</v>
      </c>
      <c r="BC26" s="3"/>
      <c r="BD26" s="3" t="str">
        <f>GenBS!A26</f>
        <v>Delaware Area Career Center</v>
      </c>
      <c r="BE26" s="16" t="b">
        <f t="shared" si="4"/>
        <v>1</v>
      </c>
      <c r="BG26" s="3" t="str">
        <f t="shared" si="5"/>
        <v>Delaware</v>
      </c>
      <c r="BH26" s="16" t="b">
        <f t="shared" si="6"/>
        <v>1</v>
      </c>
      <c r="BJ26" s="16" t="b">
        <f>C26=GenBS!C26</f>
        <v>1</v>
      </c>
    </row>
    <row r="27" spans="1:62">
      <c r="A27" s="3" t="s">
        <v>307</v>
      </c>
      <c r="B27" s="16"/>
      <c r="C27" s="16" t="s">
        <v>165</v>
      </c>
      <c r="E27" s="16">
        <v>51003</v>
      </c>
      <c r="G27" s="3">
        <v>13469011</v>
      </c>
      <c r="H27" s="3"/>
      <c r="I27" s="3">
        <v>6974324</v>
      </c>
      <c r="J27" s="3"/>
      <c r="K27" s="3">
        <v>71314</v>
      </c>
      <c r="L27" s="3"/>
      <c r="M27" s="3">
        <v>469686</v>
      </c>
      <c r="N27" s="3"/>
      <c r="O27" s="3">
        <v>2100</v>
      </c>
      <c r="P27" s="3"/>
      <c r="Q27" s="3">
        <v>0</v>
      </c>
      <c r="R27" s="3"/>
      <c r="S27" s="3">
        <v>15073</v>
      </c>
      <c r="T27" s="3"/>
      <c r="U27" s="3">
        <f>65532+13004+70725</f>
        <v>149261</v>
      </c>
      <c r="V27" s="3"/>
      <c r="W27" s="8">
        <f t="shared" si="7"/>
        <v>21150769</v>
      </c>
      <c r="X27" s="3"/>
      <c r="Y27" s="3">
        <v>0</v>
      </c>
      <c r="Z27" s="3"/>
      <c r="AA27" s="3">
        <v>0</v>
      </c>
      <c r="AB27" s="3"/>
      <c r="AC27" s="3">
        <v>0</v>
      </c>
      <c r="AD27" s="3"/>
      <c r="AE27" s="3" t="s">
        <v>307</v>
      </c>
      <c r="AF27" s="16"/>
      <c r="AG27" s="16" t="s">
        <v>165</v>
      </c>
      <c r="AH27" s="3"/>
      <c r="AI27" s="3">
        <v>0</v>
      </c>
      <c r="AJ27" s="3"/>
      <c r="AK27" s="3">
        <v>0</v>
      </c>
      <c r="AL27" s="3"/>
      <c r="AM27" s="3">
        <v>1780</v>
      </c>
      <c r="AN27" s="3"/>
      <c r="AO27" s="3">
        <v>0</v>
      </c>
      <c r="AP27" s="3"/>
      <c r="AQ27" s="3">
        <v>0</v>
      </c>
      <c r="AR27" s="3"/>
      <c r="AS27" s="3">
        <v>0</v>
      </c>
      <c r="AT27" s="3"/>
      <c r="AU27" s="3">
        <f t="shared" si="0"/>
        <v>1780</v>
      </c>
      <c r="AV27" s="3"/>
      <c r="AW27" s="3">
        <f t="shared" si="1"/>
        <v>21152549</v>
      </c>
      <c r="AZ27" s="3"/>
      <c r="BA27" s="3" t="str">
        <f t="shared" si="2"/>
        <v>Eastland-Fairfield Career and Tech Center</v>
      </c>
      <c r="BB27" s="3" t="b">
        <f t="shared" si="3"/>
        <v>1</v>
      </c>
      <c r="BC27" s="3"/>
      <c r="BD27" s="3" t="str">
        <f>GenBS!A27</f>
        <v>Eastland-Fairfield Career and Tech Center</v>
      </c>
      <c r="BE27" s="16" t="b">
        <f t="shared" si="4"/>
        <v>1</v>
      </c>
      <c r="BG27" s="3" t="str">
        <f t="shared" si="5"/>
        <v>Franklin</v>
      </c>
      <c r="BH27" s="16" t="b">
        <f t="shared" si="6"/>
        <v>1</v>
      </c>
      <c r="BJ27" s="16" t="b">
        <f>C27=GenBS!C27</f>
        <v>1</v>
      </c>
    </row>
    <row r="28" spans="1:62">
      <c r="A28" s="3" t="s">
        <v>252</v>
      </c>
      <c r="B28" s="16"/>
      <c r="C28" s="16" t="s">
        <v>163</v>
      </c>
      <c r="E28" s="16">
        <v>51029</v>
      </c>
      <c r="G28" s="3">
        <v>5825497</v>
      </c>
      <c r="H28" s="3"/>
      <c r="I28" s="3">
        <v>6462835</v>
      </c>
      <c r="J28" s="3"/>
      <c r="K28" s="3">
        <v>24582</v>
      </c>
      <c r="L28" s="3"/>
      <c r="M28" s="3">
        <v>15925</v>
      </c>
      <c r="N28" s="3"/>
      <c r="O28" s="3">
        <v>12098</v>
      </c>
      <c r="P28" s="3"/>
      <c r="Q28" s="3">
        <v>0</v>
      </c>
      <c r="R28" s="3"/>
      <c r="S28" s="3">
        <v>0</v>
      </c>
      <c r="T28" s="3"/>
      <c r="U28" s="3">
        <v>235656</v>
      </c>
      <c r="V28" s="3"/>
      <c r="W28" s="8">
        <f t="shared" si="7"/>
        <v>12576593</v>
      </c>
      <c r="X28" s="3"/>
      <c r="Y28" s="3">
        <v>0</v>
      </c>
      <c r="Z28" s="3"/>
      <c r="AA28" s="3">
        <v>0</v>
      </c>
      <c r="AB28" s="3"/>
      <c r="AC28" s="3">
        <v>0</v>
      </c>
      <c r="AD28" s="3"/>
      <c r="AE28" s="3" t="s">
        <v>252</v>
      </c>
      <c r="AF28" s="16"/>
      <c r="AG28" s="16" t="s">
        <v>163</v>
      </c>
      <c r="AH28" s="3"/>
      <c r="AI28" s="3">
        <v>0</v>
      </c>
      <c r="AJ28" s="3"/>
      <c r="AK28" s="3">
        <v>0</v>
      </c>
      <c r="AL28" s="3"/>
      <c r="AM28" s="3">
        <v>0</v>
      </c>
      <c r="AN28" s="3"/>
      <c r="AO28" s="3">
        <v>0</v>
      </c>
      <c r="AP28" s="3"/>
      <c r="AQ28" s="3">
        <v>0</v>
      </c>
      <c r="AR28" s="3"/>
      <c r="AS28" s="3">
        <v>0</v>
      </c>
      <c r="AT28" s="3"/>
      <c r="AU28" s="3">
        <f t="shared" si="0"/>
        <v>0</v>
      </c>
      <c r="AV28" s="3"/>
      <c r="AW28" s="3">
        <f t="shared" si="1"/>
        <v>12576593</v>
      </c>
      <c r="AZ28" s="3" t="s">
        <v>383</v>
      </c>
      <c r="BA28" s="3" t="str">
        <f t="shared" si="2"/>
        <v>Ehove Career Center</v>
      </c>
      <c r="BB28" s="3" t="b">
        <f t="shared" si="3"/>
        <v>1</v>
      </c>
      <c r="BC28" s="3"/>
      <c r="BD28" s="3" t="str">
        <f>GenBS!A28</f>
        <v>Ehove Career Center</v>
      </c>
      <c r="BE28" s="16" t="b">
        <f t="shared" si="4"/>
        <v>1</v>
      </c>
      <c r="BG28" s="3" t="str">
        <f t="shared" si="5"/>
        <v>Erie</v>
      </c>
      <c r="BH28" s="16" t="b">
        <f t="shared" si="6"/>
        <v>1</v>
      </c>
      <c r="BJ28" s="16" t="b">
        <f>C28=GenBS!C28</f>
        <v>1</v>
      </c>
    </row>
    <row r="29" spans="1:62">
      <c r="A29" s="3" t="s">
        <v>254</v>
      </c>
      <c r="B29" s="16"/>
      <c r="C29" s="16" t="s">
        <v>215</v>
      </c>
      <c r="E29" s="16">
        <v>50963</v>
      </c>
      <c r="G29" s="3">
        <v>5045738</v>
      </c>
      <c r="H29" s="3"/>
      <c r="I29" s="3">
        <v>9015601</v>
      </c>
      <c r="J29" s="3"/>
      <c r="K29" s="3">
        <v>86457</v>
      </c>
      <c r="L29" s="3"/>
      <c r="M29" s="3">
        <v>304259</v>
      </c>
      <c r="N29" s="3"/>
      <c r="O29" s="3">
        <v>0</v>
      </c>
      <c r="P29" s="3"/>
      <c r="Q29" s="3">
        <v>0</v>
      </c>
      <c r="R29" s="3"/>
      <c r="S29" s="3">
        <v>113487</v>
      </c>
      <c r="T29" s="3"/>
      <c r="U29" s="3">
        <f>312+34209+9216-8678</f>
        <v>35059</v>
      </c>
      <c r="V29" s="3"/>
      <c r="W29" s="8">
        <f t="shared" si="7"/>
        <v>14600601</v>
      </c>
      <c r="X29" s="3"/>
      <c r="Y29" s="3">
        <v>0</v>
      </c>
      <c r="Z29" s="3"/>
      <c r="AA29" s="3">
        <v>0</v>
      </c>
      <c r="AB29" s="3"/>
      <c r="AC29" s="3">
        <v>0</v>
      </c>
      <c r="AD29" s="3"/>
      <c r="AE29" s="3" t="s">
        <v>254</v>
      </c>
      <c r="AF29" s="16"/>
      <c r="AG29" s="16" t="s">
        <v>215</v>
      </c>
      <c r="AH29" s="3"/>
      <c r="AI29" s="3">
        <v>0</v>
      </c>
      <c r="AJ29" s="3"/>
      <c r="AK29" s="3">
        <v>0</v>
      </c>
      <c r="AL29" s="3"/>
      <c r="AM29" s="3">
        <v>7265</v>
      </c>
      <c r="AN29" s="3"/>
      <c r="AO29" s="3">
        <v>0</v>
      </c>
      <c r="AP29" s="3"/>
      <c r="AQ29" s="3">
        <v>0</v>
      </c>
      <c r="AR29" s="3"/>
      <c r="AS29" s="3">
        <v>0</v>
      </c>
      <c r="AT29" s="3"/>
      <c r="AU29" s="3">
        <f t="shared" si="0"/>
        <v>7265</v>
      </c>
      <c r="AV29" s="3"/>
      <c r="AW29" s="3">
        <f t="shared" si="1"/>
        <v>14607866</v>
      </c>
      <c r="AZ29" s="3"/>
      <c r="BA29" s="3" t="str">
        <f t="shared" si="2"/>
        <v>Four County Career Center</v>
      </c>
      <c r="BB29" s="3" t="b">
        <f t="shared" si="3"/>
        <v>1</v>
      </c>
      <c r="BC29" s="3"/>
      <c r="BD29" s="3" t="str">
        <f>GenBS!A29</f>
        <v>Four County Career Center</v>
      </c>
      <c r="BE29" s="16" t="b">
        <f t="shared" si="4"/>
        <v>1</v>
      </c>
      <c r="BG29" s="3" t="str">
        <f t="shared" si="5"/>
        <v>Henry</v>
      </c>
      <c r="BH29" s="16" t="b">
        <f t="shared" si="6"/>
        <v>1</v>
      </c>
      <c r="BJ29" s="16" t="b">
        <f>C29=GenBS!C29</f>
        <v>1</v>
      </c>
    </row>
    <row r="30" spans="1:62">
      <c r="A30" s="3" t="s">
        <v>214</v>
      </c>
      <c r="B30" s="16"/>
      <c r="C30" s="16" t="s">
        <v>168</v>
      </c>
      <c r="E30" s="16">
        <v>62067</v>
      </c>
      <c r="G30" s="3">
        <v>2370635</v>
      </c>
      <c r="H30" s="3"/>
      <c r="I30" s="3">
        <v>5360477</v>
      </c>
      <c r="J30" s="3"/>
      <c r="K30" s="3">
        <v>177576</v>
      </c>
      <c r="L30" s="3"/>
      <c r="M30" s="3">
        <v>23091</v>
      </c>
      <c r="N30" s="3"/>
      <c r="O30" s="3">
        <v>740</v>
      </c>
      <c r="P30" s="3"/>
      <c r="Q30" s="3">
        <v>0</v>
      </c>
      <c r="R30" s="3"/>
      <c r="S30" s="3">
        <v>58000</v>
      </c>
      <c r="T30" s="3"/>
      <c r="U30" s="3">
        <f>112995+348+17850</f>
        <v>131193</v>
      </c>
      <c r="V30" s="3"/>
      <c r="W30" s="8">
        <f t="shared" si="7"/>
        <v>8121712</v>
      </c>
      <c r="X30" s="3"/>
      <c r="Y30" s="3">
        <v>0</v>
      </c>
      <c r="Z30" s="3"/>
      <c r="AA30" s="3">
        <v>0</v>
      </c>
      <c r="AB30" s="3"/>
      <c r="AC30" s="3">
        <v>0</v>
      </c>
      <c r="AD30" s="3"/>
      <c r="AE30" s="3" t="s">
        <v>214</v>
      </c>
      <c r="AF30" s="16"/>
      <c r="AG30" s="16" t="s">
        <v>168</v>
      </c>
      <c r="AH30" s="3"/>
      <c r="AI30" s="3">
        <v>0</v>
      </c>
      <c r="AJ30" s="3"/>
      <c r="AK30" s="3">
        <v>0</v>
      </c>
      <c r="AL30" s="3"/>
      <c r="AM30" s="3">
        <v>3753</v>
      </c>
      <c r="AN30" s="3"/>
      <c r="AO30" s="3">
        <v>0</v>
      </c>
      <c r="AP30" s="3"/>
      <c r="AQ30" s="3">
        <v>0</v>
      </c>
      <c r="AR30" s="3"/>
      <c r="AS30" s="3">
        <v>9372</v>
      </c>
      <c r="AT30" s="3"/>
      <c r="AU30" s="3">
        <f t="shared" si="0"/>
        <v>13125</v>
      </c>
      <c r="AV30" s="3"/>
      <c r="AW30" s="3">
        <f t="shared" si="1"/>
        <v>8134837</v>
      </c>
      <c r="AZ30" s="3"/>
      <c r="BA30" s="3" t="str">
        <f t="shared" si="2"/>
        <v>Gallia-Jackson-Vinton JVSD</v>
      </c>
      <c r="BB30" s="3" t="b">
        <f t="shared" si="3"/>
        <v>1</v>
      </c>
      <c r="BC30" s="3"/>
      <c r="BD30" s="3" t="str">
        <f>GenBS!A30</f>
        <v>Gallia-Jackson-Vinton JVSD</v>
      </c>
      <c r="BE30" s="16" t="b">
        <f t="shared" si="4"/>
        <v>1</v>
      </c>
      <c r="BG30" s="3" t="str">
        <f t="shared" si="5"/>
        <v>Gallia</v>
      </c>
      <c r="BH30" s="16" t="b">
        <f t="shared" si="6"/>
        <v>1</v>
      </c>
      <c r="BJ30" s="16" t="b">
        <f>C30=GenBS!C30</f>
        <v>1</v>
      </c>
    </row>
    <row r="31" spans="1:62">
      <c r="A31" s="3" t="s">
        <v>327</v>
      </c>
      <c r="B31" s="16"/>
      <c r="C31" s="16" t="s">
        <v>171</v>
      </c>
      <c r="E31" s="16">
        <v>51060</v>
      </c>
      <c r="G31" s="3">
        <v>36560049</v>
      </c>
      <c r="H31" s="3"/>
      <c r="I31" s="3">
        <v>23088752</v>
      </c>
      <c r="J31" s="3"/>
      <c r="K31" s="3">
        <v>290910</v>
      </c>
      <c r="L31" s="3"/>
      <c r="M31" s="3">
        <f>307661+54222</f>
        <v>361883</v>
      </c>
      <c r="N31" s="3"/>
      <c r="O31" s="3">
        <v>76190</v>
      </c>
      <c r="P31" s="3"/>
      <c r="Q31" s="3">
        <v>0</v>
      </c>
      <c r="R31" s="3"/>
      <c r="S31" s="3">
        <v>0</v>
      </c>
      <c r="T31" s="3"/>
      <c r="U31" s="3">
        <v>371886</v>
      </c>
      <c r="V31" s="3"/>
      <c r="W31" s="8">
        <f t="shared" si="7"/>
        <v>60749670</v>
      </c>
      <c r="X31" s="3"/>
      <c r="Y31" s="3">
        <v>0</v>
      </c>
      <c r="Z31" s="3"/>
      <c r="AA31" s="3">
        <v>0</v>
      </c>
      <c r="AB31" s="3"/>
      <c r="AC31" s="3">
        <v>0</v>
      </c>
      <c r="AD31" s="3"/>
      <c r="AE31" s="3" t="s">
        <v>327</v>
      </c>
      <c r="AF31" s="16"/>
      <c r="AG31" s="16" t="s">
        <v>171</v>
      </c>
      <c r="AH31" s="3"/>
      <c r="AI31" s="3">
        <v>0</v>
      </c>
      <c r="AJ31" s="3"/>
      <c r="AK31" s="3">
        <v>0</v>
      </c>
      <c r="AL31" s="3"/>
      <c r="AM31" s="3">
        <v>0</v>
      </c>
      <c r="AN31" s="3"/>
      <c r="AO31" s="3">
        <v>0</v>
      </c>
      <c r="AP31" s="3"/>
      <c r="AQ31" s="3">
        <v>0</v>
      </c>
      <c r="AR31" s="3"/>
      <c r="AS31" s="3">
        <v>0</v>
      </c>
      <c r="AT31" s="3"/>
      <c r="AU31" s="3">
        <f t="shared" si="0"/>
        <v>0</v>
      </c>
      <c r="AV31" s="3"/>
      <c r="AW31" s="3">
        <f t="shared" si="1"/>
        <v>60749670</v>
      </c>
      <c r="AZ31" s="3" t="s">
        <v>383</v>
      </c>
      <c r="BA31" s="3" t="str">
        <f t="shared" si="2"/>
        <v>Great Oaks Inst of Technology &amp; Career Development</v>
      </c>
      <c r="BB31" s="3" t="b">
        <f t="shared" si="3"/>
        <v>1</v>
      </c>
      <c r="BC31" s="3"/>
      <c r="BD31" s="3" t="str">
        <f>GenBS!A31</f>
        <v>Great Oaks Inst of Technology &amp; Career Development</v>
      </c>
      <c r="BE31" s="16" t="b">
        <f t="shared" si="4"/>
        <v>1</v>
      </c>
      <c r="BG31" s="3" t="str">
        <f t="shared" si="5"/>
        <v>Hamilton</v>
      </c>
      <c r="BH31" s="16" t="b">
        <f t="shared" si="6"/>
        <v>1</v>
      </c>
      <c r="BJ31" s="16" t="b">
        <f>C31=GenBS!C31</f>
        <v>1</v>
      </c>
    </row>
    <row r="32" spans="1:62">
      <c r="A32" s="3" t="s">
        <v>386</v>
      </c>
      <c r="B32" s="16"/>
      <c r="C32" s="16" t="s">
        <v>170</v>
      </c>
      <c r="E32" s="16">
        <v>51045</v>
      </c>
      <c r="G32" s="3">
        <v>7241407</v>
      </c>
      <c r="H32" s="3"/>
      <c r="I32" s="3">
        <v>5695763</v>
      </c>
      <c r="J32" s="3"/>
      <c r="K32" s="3">
        <v>12793</v>
      </c>
      <c r="L32" s="3"/>
      <c r="M32" s="3">
        <f>49023+48898</f>
        <v>97921</v>
      </c>
      <c r="N32" s="3"/>
      <c r="O32" s="3">
        <v>0</v>
      </c>
      <c r="P32" s="3"/>
      <c r="Q32" s="3">
        <v>0</v>
      </c>
      <c r="R32" s="3"/>
      <c r="S32" s="3">
        <v>0</v>
      </c>
      <c r="T32" s="3"/>
      <c r="U32" s="3">
        <v>169672</v>
      </c>
      <c r="V32" s="3"/>
      <c r="W32" s="8">
        <f>SUM(G32:V32)</f>
        <v>13217556</v>
      </c>
      <c r="X32" s="3"/>
      <c r="Y32" s="3">
        <v>0</v>
      </c>
      <c r="Z32" s="3"/>
      <c r="AA32" s="3">
        <v>0</v>
      </c>
      <c r="AB32" s="3"/>
      <c r="AC32" s="3">
        <v>0</v>
      </c>
      <c r="AD32" s="3"/>
      <c r="AE32" s="3" t="s">
        <v>386</v>
      </c>
      <c r="AF32" s="16"/>
      <c r="AG32" s="16" t="s">
        <v>170</v>
      </c>
      <c r="AH32" s="3"/>
      <c r="AI32" s="3">
        <v>0</v>
      </c>
      <c r="AJ32" s="3"/>
      <c r="AK32" s="3">
        <v>0</v>
      </c>
      <c r="AL32" s="3"/>
      <c r="AM32" s="3">
        <v>0</v>
      </c>
      <c r="AN32" s="3"/>
      <c r="AO32" s="3">
        <v>0</v>
      </c>
      <c r="AP32" s="3"/>
      <c r="AQ32" s="3">
        <v>0</v>
      </c>
      <c r="AR32" s="3"/>
      <c r="AS32" s="3">
        <v>0</v>
      </c>
      <c r="AT32" s="3"/>
      <c r="AU32" s="3">
        <f t="shared" si="0"/>
        <v>0</v>
      </c>
      <c r="AV32" s="3"/>
      <c r="AW32" s="3">
        <f t="shared" si="1"/>
        <v>13217556</v>
      </c>
      <c r="AZ32" s="3"/>
      <c r="BA32" s="3" t="str">
        <f t="shared" si="2"/>
        <v>Greene County VSD</v>
      </c>
      <c r="BB32" s="3" t="b">
        <f t="shared" si="3"/>
        <v>1</v>
      </c>
      <c r="BC32" s="3"/>
      <c r="BD32" s="3" t="str">
        <f>GenBS!A32</f>
        <v>Greene County VSD</v>
      </c>
      <c r="BE32" s="16" t="b">
        <f t="shared" si="4"/>
        <v>1</v>
      </c>
      <c r="BG32" s="3" t="str">
        <f t="shared" si="5"/>
        <v>Greene</v>
      </c>
      <c r="BH32" s="16" t="b">
        <f t="shared" si="6"/>
        <v>1</v>
      </c>
      <c r="BJ32" s="16" t="b">
        <f>C32=GenBS!C32</f>
        <v>1</v>
      </c>
    </row>
    <row r="33" spans="1:62">
      <c r="A33" s="3" t="s">
        <v>216</v>
      </c>
      <c r="B33" s="16"/>
      <c r="C33" s="16" t="s">
        <v>173</v>
      </c>
      <c r="E33" s="16">
        <v>51128</v>
      </c>
      <c r="G33" s="3">
        <v>1411200</v>
      </c>
      <c r="H33" s="3"/>
      <c r="I33" s="3">
        <v>3099156</v>
      </c>
      <c r="J33" s="3"/>
      <c r="K33" s="3">
        <v>310</v>
      </c>
      <c r="L33" s="3"/>
      <c r="M33" s="3">
        <v>247451</v>
      </c>
      <c r="N33" s="3"/>
      <c r="O33" s="3">
        <v>16992</v>
      </c>
      <c r="P33" s="3"/>
      <c r="Q33" s="3">
        <v>0</v>
      </c>
      <c r="R33" s="3"/>
      <c r="S33" s="3">
        <v>0</v>
      </c>
      <c r="T33" s="3"/>
      <c r="U33" s="3">
        <v>19960</v>
      </c>
      <c r="V33" s="3"/>
      <c r="W33" s="8">
        <f t="shared" si="7"/>
        <v>4795069</v>
      </c>
      <c r="X33" s="3"/>
      <c r="Y33" s="3">
        <v>0</v>
      </c>
      <c r="Z33" s="3"/>
      <c r="AA33" s="3"/>
      <c r="AB33" s="3"/>
      <c r="AC33" s="3">
        <v>0</v>
      </c>
      <c r="AD33" s="3"/>
      <c r="AE33" s="3" t="s">
        <v>216</v>
      </c>
      <c r="AF33" s="16"/>
      <c r="AG33" s="16" t="s">
        <v>173</v>
      </c>
      <c r="AH33" s="3"/>
      <c r="AI33" s="3">
        <v>0</v>
      </c>
      <c r="AJ33" s="3"/>
      <c r="AK33" s="3">
        <v>0</v>
      </c>
      <c r="AL33" s="3"/>
      <c r="AM33" s="3">
        <v>0</v>
      </c>
      <c r="AN33" s="3"/>
      <c r="AO33" s="3">
        <v>0</v>
      </c>
      <c r="AP33" s="3"/>
      <c r="AQ33" s="3">
        <v>0</v>
      </c>
      <c r="AR33" s="3"/>
      <c r="AS33" s="3">
        <v>0</v>
      </c>
      <c r="AT33" s="3"/>
      <c r="AU33" s="3">
        <f t="shared" si="0"/>
        <v>0</v>
      </c>
      <c r="AV33" s="3"/>
      <c r="AW33" s="3">
        <f t="shared" si="1"/>
        <v>4795069</v>
      </c>
      <c r="AZ33" s="3"/>
      <c r="BA33" s="3" t="str">
        <f t="shared" si="2"/>
        <v>Jefferson County JVSD</v>
      </c>
      <c r="BB33" s="3" t="b">
        <f t="shared" si="3"/>
        <v>1</v>
      </c>
      <c r="BC33" s="3"/>
      <c r="BD33" s="3" t="str">
        <f>GenBS!A33</f>
        <v>Jefferson County JVSD</v>
      </c>
      <c r="BE33" s="16" t="b">
        <f t="shared" si="4"/>
        <v>1</v>
      </c>
      <c r="BG33" s="3" t="str">
        <f t="shared" si="5"/>
        <v>Jefferson</v>
      </c>
      <c r="BH33" s="16" t="b">
        <f t="shared" si="6"/>
        <v>1</v>
      </c>
      <c r="BJ33" s="16" t="b">
        <f>C33=GenBS!C33</f>
        <v>1</v>
      </c>
    </row>
    <row r="34" spans="1:62">
      <c r="A34" s="3" t="s">
        <v>255</v>
      </c>
      <c r="B34" s="16"/>
      <c r="C34" s="16" t="s">
        <v>174</v>
      </c>
      <c r="E34" s="16">
        <v>51144</v>
      </c>
      <c r="G34" s="3">
        <v>3167622</v>
      </c>
      <c r="H34" s="3"/>
      <c r="I34" s="3">
        <v>6015311</v>
      </c>
      <c r="J34" s="3"/>
      <c r="K34" s="3">
        <v>117966</v>
      </c>
      <c r="L34" s="3"/>
      <c r="M34" s="3">
        <f>40291+60912+114221</f>
        <v>215424</v>
      </c>
      <c r="N34" s="3"/>
      <c r="O34" s="3">
        <v>0</v>
      </c>
      <c r="P34" s="3"/>
      <c r="Q34" s="3">
        <v>82907</v>
      </c>
      <c r="R34" s="3"/>
      <c r="S34" s="3">
        <v>2113</v>
      </c>
      <c r="T34" s="3"/>
      <c r="U34" s="3">
        <v>9721</v>
      </c>
      <c r="V34" s="3"/>
      <c r="W34" s="8">
        <f t="shared" si="7"/>
        <v>9611064</v>
      </c>
      <c r="X34" s="3"/>
      <c r="Y34" s="3">
        <v>0</v>
      </c>
      <c r="Z34" s="3"/>
      <c r="AA34" s="3"/>
      <c r="AB34" s="3"/>
      <c r="AC34" s="3">
        <v>0</v>
      </c>
      <c r="AD34" s="3"/>
      <c r="AE34" s="3" t="s">
        <v>255</v>
      </c>
      <c r="AF34" s="16"/>
      <c r="AG34" s="16" t="s">
        <v>174</v>
      </c>
      <c r="AH34" s="3"/>
      <c r="AI34" s="3">
        <v>0</v>
      </c>
      <c r="AJ34" s="3"/>
      <c r="AK34" s="3">
        <v>0</v>
      </c>
      <c r="AL34" s="3"/>
      <c r="AM34" s="3">
        <v>0</v>
      </c>
      <c r="AN34" s="3"/>
      <c r="AO34" s="3">
        <v>0</v>
      </c>
      <c r="AP34" s="3"/>
      <c r="AQ34" s="3">
        <v>0</v>
      </c>
      <c r="AR34" s="3"/>
      <c r="AS34" s="3">
        <v>0</v>
      </c>
      <c r="AT34" s="3"/>
      <c r="AU34" s="3">
        <f t="shared" si="0"/>
        <v>0</v>
      </c>
      <c r="AV34" s="3"/>
      <c r="AW34" s="3">
        <f t="shared" si="1"/>
        <v>9611064</v>
      </c>
      <c r="AZ34" s="3"/>
      <c r="BA34" s="3" t="str">
        <f t="shared" si="2"/>
        <v>Knox County Career Center</v>
      </c>
      <c r="BB34" s="3" t="b">
        <f t="shared" si="3"/>
        <v>1</v>
      </c>
      <c r="BC34" s="3"/>
      <c r="BD34" s="3" t="str">
        <f>GenBS!A34</f>
        <v>Knox County Career Center</v>
      </c>
      <c r="BE34" s="16" t="b">
        <f t="shared" si="4"/>
        <v>1</v>
      </c>
      <c r="BG34" s="3" t="str">
        <f t="shared" si="5"/>
        <v>Knox</v>
      </c>
      <c r="BH34" s="16" t="b">
        <f t="shared" si="6"/>
        <v>1</v>
      </c>
      <c r="BJ34" s="16" t="b">
        <f>C34=GenBS!C34</f>
        <v>1</v>
      </c>
    </row>
    <row r="35" spans="1:62">
      <c r="A35" s="3" t="s">
        <v>217</v>
      </c>
      <c r="B35" s="16"/>
      <c r="C35" s="16" t="s">
        <v>175</v>
      </c>
      <c r="E35" s="16">
        <v>51185</v>
      </c>
      <c r="G35" s="3">
        <v>1533457</v>
      </c>
      <c r="H35" s="3"/>
      <c r="I35" s="3">
        <v>5306687</v>
      </c>
      <c r="J35" s="3"/>
      <c r="K35" s="3">
        <v>0</v>
      </c>
      <c r="L35" s="3"/>
      <c r="M35" s="3">
        <f>16408+47009</f>
        <v>63417</v>
      </c>
      <c r="N35" s="3"/>
      <c r="O35" s="3">
        <v>0</v>
      </c>
      <c r="P35" s="3"/>
      <c r="Q35" s="3">
        <v>0</v>
      </c>
      <c r="R35" s="3"/>
      <c r="S35" s="3">
        <v>0</v>
      </c>
      <c r="T35" s="3"/>
      <c r="U35" s="3">
        <v>211951</v>
      </c>
      <c r="V35" s="3"/>
      <c r="W35" s="8">
        <f t="shared" si="7"/>
        <v>7115512</v>
      </c>
      <c r="X35" s="3"/>
      <c r="Y35" s="3">
        <v>0</v>
      </c>
      <c r="Z35" s="3"/>
      <c r="AA35" s="3"/>
      <c r="AB35" s="3"/>
      <c r="AC35" s="3">
        <v>0</v>
      </c>
      <c r="AD35" s="3"/>
      <c r="AE35" s="3" t="s">
        <v>217</v>
      </c>
      <c r="AF35" s="16"/>
      <c r="AG35" s="16" t="s">
        <v>175</v>
      </c>
      <c r="AH35" s="3"/>
      <c r="AI35" s="3">
        <v>0</v>
      </c>
      <c r="AJ35" s="3"/>
      <c r="AK35" s="3">
        <v>0</v>
      </c>
      <c r="AL35" s="3"/>
      <c r="AM35" s="3">
        <v>0</v>
      </c>
      <c r="AN35" s="3"/>
      <c r="AO35" s="3">
        <v>0</v>
      </c>
      <c r="AP35" s="3"/>
      <c r="AQ35" s="3">
        <v>0</v>
      </c>
      <c r="AR35" s="3"/>
      <c r="AS35" s="3">
        <v>0</v>
      </c>
      <c r="AT35" s="3"/>
      <c r="AU35" s="3">
        <f t="shared" si="0"/>
        <v>0</v>
      </c>
      <c r="AV35" s="3"/>
      <c r="AW35" s="3">
        <f t="shared" si="1"/>
        <v>7115512</v>
      </c>
      <c r="AZ35" s="3"/>
      <c r="BA35" s="3" t="str">
        <f t="shared" si="2"/>
        <v>Lawrence County JVSD</v>
      </c>
      <c r="BB35" s="3" t="b">
        <f t="shared" si="3"/>
        <v>1</v>
      </c>
      <c r="BC35" s="3"/>
      <c r="BD35" s="3" t="str">
        <f>GenBS!A35</f>
        <v>Lawrence County JVSD</v>
      </c>
      <c r="BE35" s="16" t="b">
        <f t="shared" si="4"/>
        <v>1</v>
      </c>
      <c r="BG35" s="3" t="str">
        <f t="shared" si="5"/>
        <v>Lawrence</v>
      </c>
      <c r="BH35" s="16" t="b">
        <f t="shared" si="6"/>
        <v>1</v>
      </c>
      <c r="BJ35" s="16" t="b">
        <f>C35=GenBS!C35</f>
        <v>1</v>
      </c>
    </row>
    <row r="36" spans="1:62" s="72" customFormat="1" hidden="1">
      <c r="A36" s="65" t="s">
        <v>308</v>
      </c>
      <c r="B36" s="66"/>
      <c r="C36" s="66" t="s">
        <v>176</v>
      </c>
      <c r="E36" s="66">
        <v>47977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74"/>
      <c r="V36" s="65"/>
      <c r="W36" s="70">
        <f t="shared" si="7"/>
        <v>0</v>
      </c>
      <c r="X36" s="65"/>
      <c r="Y36" s="3">
        <v>0</v>
      </c>
      <c r="Z36" s="65"/>
      <c r="AA36" s="65"/>
      <c r="AB36" s="65"/>
      <c r="AC36" s="3">
        <v>0</v>
      </c>
      <c r="AD36" s="65"/>
      <c r="AE36" s="65" t="s">
        <v>308</v>
      </c>
      <c r="AF36" s="66"/>
      <c r="AG36" s="66" t="s">
        <v>176</v>
      </c>
      <c r="AH36" s="65"/>
      <c r="AI36" s="3">
        <v>0</v>
      </c>
      <c r="AJ36" s="65"/>
      <c r="AK36" s="3">
        <v>0</v>
      </c>
      <c r="AL36" s="65"/>
      <c r="AM36" s="3">
        <v>0</v>
      </c>
      <c r="AN36" s="65"/>
      <c r="AO36" s="3">
        <v>0</v>
      </c>
      <c r="AP36" s="65"/>
      <c r="AQ36" s="3">
        <v>0</v>
      </c>
      <c r="AR36" s="65"/>
      <c r="AS36" s="3">
        <v>0</v>
      </c>
      <c r="AT36" s="65"/>
      <c r="AU36" s="65">
        <f t="shared" si="0"/>
        <v>0</v>
      </c>
      <c r="AV36" s="65"/>
      <c r="AW36" s="65">
        <f t="shared" si="1"/>
        <v>0</v>
      </c>
      <c r="AZ36" s="65" t="s">
        <v>389</v>
      </c>
      <c r="BA36" s="65" t="str">
        <f t="shared" si="2"/>
        <v>Licking Co Career &amp; Tech Center</v>
      </c>
      <c r="BB36" s="65" t="b">
        <f t="shared" si="3"/>
        <v>1</v>
      </c>
      <c r="BC36" s="65"/>
      <c r="BD36" s="65" t="str">
        <f>GenBS!A36</f>
        <v>Licking Co Career &amp; Tech Center</v>
      </c>
      <c r="BE36" s="66" t="b">
        <f t="shared" si="4"/>
        <v>1</v>
      </c>
      <c r="BG36" s="65" t="str">
        <f t="shared" si="5"/>
        <v>Licking</v>
      </c>
      <c r="BH36" s="66" t="b">
        <f t="shared" si="6"/>
        <v>1</v>
      </c>
      <c r="BJ36" s="66" t="b">
        <f>C36=GenBS!C36</f>
        <v>1</v>
      </c>
    </row>
    <row r="37" spans="1:62">
      <c r="A37" s="3" t="s">
        <v>219</v>
      </c>
      <c r="B37" s="16"/>
      <c r="C37" s="16" t="s">
        <v>145</v>
      </c>
      <c r="E37" s="16">
        <v>51227</v>
      </c>
      <c r="G37" s="3">
        <v>11171290</v>
      </c>
      <c r="H37" s="3"/>
      <c r="I37" s="3">
        <v>9912421</v>
      </c>
      <c r="J37" s="3"/>
      <c r="K37" s="3">
        <v>61079</v>
      </c>
      <c r="L37" s="3"/>
      <c r="M37" s="3">
        <f>1499767+3641</f>
        <v>1503408</v>
      </c>
      <c r="N37" s="3"/>
      <c r="O37" s="3">
        <v>0</v>
      </c>
      <c r="P37" s="3"/>
      <c r="Q37" s="3">
        <v>0</v>
      </c>
      <c r="R37" s="3"/>
      <c r="S37" s="3">
        <v>0</v>
      </c>
      <c r="T37" s="3"/>
      <c r="U37" s="3">
        <v>572510</v>
      </c>
      <c r="V37" s="3"/>
      <c r="W37" s="8">
        <f t="shared" si="7"/>
        <v>23220708</v>
      </c>
      <c r="X37" s="3"/>
      <c r="Y37" s="3">
        <v>0</v>
      </c>
      <c r="Z37" s="3"/>
      <c r="AA37" s="3"/>
      <c r="AB37" s="3"/>
      <c r="AC37" s="3">
        <v>0</v>
      </c>
      <c r="AD37" s="3"/>
      <c r="AE37" s="3" t="s">
        <v>219</v>
      </c>
      <c r="AF37" s="16"/>
      <c r="AG37" s="16" t="s">
        <v>145</v>
      </c>
      <c r="AH37" s="3"/>
      <c r="AI37" s="3">
        <v>0</v>
      </c>
      <c r="AJ37" s="3"/>
      <c r="AK37" s="3">
        <v>0</v>
      </c>
      <c r="AL37" s="3"/>
      <c r="AM37" s="3">
        <v>0</v>
      </c>
      <c r="AN37" s="3"/>
      <c r="AO37" s="3">
        <v>0</v>
      </c>
      <c r="AP37" s="3"/>
      <c r="AQ37" s="3">
        <v>0</v>
      </c>
      <c r="AR37" s="3"/>
      <c r="AS37" s="3">
        <v>0</v>
      </c>
      <c r="AT37" s="3"/>
      <c r="AU37" s="3">
        <f t="shared" si="0"/>
        <v>0</v>
      </c>
      <c r="AV37" s="3"/>
      <c r="AW37" s="3">
        <f t="shared" si="1"/>
        <v>23220708</v>
      </c>
      <c r="AZ37" s="3" t="s">
        <v>383</v>
      </c>
      <c r="BA37" s="3" t="str">
        <f t="shared" si="2"/>
        <v>Lorain County JVSD</v>
      </c>
      <c r="BB37" s="3" t="b">
        <f t="shared" si="3"/>
        <v>1</v>
      </c>
      <c r="BC37" s="3"/>
      <c r="BD37" s="3" t="str">
        <f>GenBS!A37</f>
        <v>Lorain County JVSD</v>
      </c>
      <c r="BE37" s="16" t="b">
        <f t="shared" si="4"/>
        <v>1</v>
      </c>
      <c r="BG37" s="3" t="str">
        <f t="shared" si="5"/>
        <v>Lorain</v>
      </c>
      <c r="BH37" s="16" t="b">
        <f t="shared" si="6"/>
        <v>1</v>
      </c>
      <c r="BJ37" s="16" t="b">
        <f>C37=GenBS!C37</f>
        <v>1</v>
      </c>
    </row>
    <row r="38" spans="1:62">
      <c r="A38" s="3" t="s">
        <v>309</v>
      </c>
      <c r="B38" s="16"/>
      <c r="C38" s="16" t="s">
        <v>179</v>
      </c>
      <c r="E38" s="16">
        <v>51243</v>
      </c>
      <c r="G38" s="3">
        <v>6119050</v>
      </c>
      <c r="H38" s="3"/>
      <c r="I38" s="3">
        <v>4379296</v>
      </c>
      <c r="J38" s="3"/>
      <c r="K38" s="3">
        <v>345285</v>
      </c>
      <c r="L38" s="3"/>
      <c r="M38" s="3">
        <f>318610+60411+975</f>
        <v>379996</v>
      </c>
      <c r="N38" s="3"/>
      <c r="O38" s="3">
        <v>0</v>
      </c>
      <c r="P38" s="3"/>
      <c r="Q38" s="3">
        <v>0</v>
      </c>
      <c r="R38" s="3"/>
      <c r="S38" s="3">
        <v>4602</v>
      </c>
      <c r="T38" s="3"/>
      <c r="U38" s="3">
        <v>20372</v>
      </c>
      <c r="V38" s="3"/>
      <c r="W38" s="8">
        <f t="shared" si="7"/>
        <v>11248601</v>
      </c>
      <c r="X38" s="3"/>
      <c r="Y38" s="3">
        <v>0</v>
      </c>
      <c r="Z38" s="3"/>
      <c r="AA38" s="3"/>
      <c r="AB38" s="3"/>
      <c r="AC38" s="3">
        <v>0</v>
      </c>
      <c r="AD38" s="3"/>
      <c r="AE38" s="3" t="s">
        <v>309</v>
      </c>
      <c r="AF38" s="16"/>
      <c r="AG38" s="16" t="s">
        <v>179</v>
      </c>
      <c r="AH38" s="3"/>
      <c r="AI38" s="3">
        <v>0</v>
      </c>
      <c r="AJ38" s="3"/>
      <c r="AK38" s="3">
        <v>0</v>
      </c>
      <c r="AL38" s="3"/>
      <c r="AM38" s="3">
        <v>2194</v>
      </c>
      <c r="AN38" s="3"/>
      <c r="AO38" s="3">
        <v>0</v>
      </c>
      <c r="AP38" s="3"/>
      <c r="AQ38" s="3">
        <v>0</v>
      </c>
      <c r="AR38" s="3"/>
      <c r="AS38" s="3">
        <v>0</v>
      </c>
      <c r="AT38" s="3"/>
      <c r="AU38" s="3">
        <f t="shared" si="0"/>
        <v>2194</v>
      </c>
      <c r="AV38" s="3"/>
      <c r="AW38" s="3">
        <f t="shared" si="1"/>
        <v>11250795</v>
      </c>
      <c r="AZ38" s="3"/>
      <c r="BA38" s="3" t="str">
        <f t="shared" si="2"/>
        <v>Mahoning Co Career &amp; Tech Center</v>
      </c>
      <c r="BB38" s="3" t="b">
        <f t="shared" si="3"/>
        <v>1</v>
      </c>
      <c r="BC38" s="3"/>
      <c r="BD38" s="3" t="str">
        <f>GenBS!A38</f>
        <v>Mahoning Co Career &amp; Tech Center</v>
      </c>
      <c r="BE38" s="16" t="b">
        <f t="shared" si="4"/>
        <v>1</v>
      </c>
      <c r="BG38" s="3" t="str">
        <f t="shared" si="5"/>
        <v>Mahoning</v>
      </c>
      <c r="BH38" s="16" t="b">
        <f t="shared" si="6"/>
        <v>1</v>
      </c>
      <c r="BJ38" s="16" t="b">
        <f>C38=GenBS!C38</f>
        <v>1</v>
      </c>
    </row>
    <row r="39" spans="1:62">
      <c r="A39" s="3" t="s">
        <v>256</v>
      </c>
      <c r="B39" s="16"/>
      <c r="C39" s="16" t="s">
        <v>190</v>
      </c>
      <c r="E39" s="16">
        <v>51391</v>
      </c>
      <c r="G39" s="3">
        <v>5447004</v>
      </c>
      <c r="H39" s="3"/>
      <c r="I39" s="3">
        <v>6028070</v>
      </c>
      <c r="J39" s="3"/>
      <c r="K39" s="3">
        <v>262572</v>
      </c>
      <c r="L39" s="3"/>
      <c r="M39" s="3">
        <f>122110+14244+101827</f>
        <v>238181</v>
      </c>
      <c r="N39" s="3"/>
      <c r="O39" s="3">
        <v>0</v>
      </c>
      <c r="P39" s="3"/>
      <c r="Q39" s="3">
        <v>0</v>
      </c>
      <c r="R39" s="3"/>
      <c r="S39" s="3">
        <v>28226</v>
      </c>
      <c r="T39" s="3"/>
      <c r="U39" s="3">
        <v>177097</v>
      </c>
      <c r="V39" s="3"/>
      <c r="W39" s="8">
        <f t="shared" si="7"/>
        <v>12181150</v>
      </c>
      <c r="X39" s="3"/>
      <c r="Y39" s="3">
        <v>0</v>
      </c>
      <c r="Z39" s="3"/>
      <c r="AA39" s="3"/>
      <c r="AB39" s="3"/>
      <c r="AC39" s="3">
        <v>0</v>
      </c>
      <c r="AD39" s="3"/>
      <c r="AE39" s="3" t="s">
        <v>256</v>
      </c>
      <c r="AF39" s="16"/>
      <c r="AG39" s="16" t="s">
        <v>190</v>
      </c>
      <c r="AH39" s="3"/>
      <c r="AI39" s="3">
        <v>0</v>
      </c>
      <c r="AJ39" s="3"/>
      <c r="AK39" s="3">
        <v>0</v>
      </c>
      <c r="AL39" s="3"/>
      <c r="AM39" s="3">
        <v>0</v>
      </c>
      <c r="AN39" s="3"/>
      <c r="AO39" s="3">
        <v>0</v>
      </c>
      <c r="AP39" s="3"/>
      <c r="AQ39" s="3">
        <v>0</v>
      </c>
      <c r="AR39" s="3"/>
      <c r="AS39" s="3">
        <v>0</v>
      </c>
      <c r="AT39" s="3"/>
      <c r="AU39" s="3">
        <f t="shared" si="0"/>
        <v>0</v>
      </c>
      <c r="AV39" s="3"/>
      <c r="AW39" s="3">
        <f t="shared" si="1"/>
        <v>12181150</v>
      </c>
      <c r="AZ39" s="3"/>
      <c r="BA39" s="3" t="str">
        <f t="shared" si="2"/>
        <v>Maplewood Career Center</v>
      </c>
      <c r="BB39" s="3" t="b">
        <f t="shared" si="3"/>
        <v>1</v>
      </c>
      <c r="BC39" s="3"/>
      <c r="BD39" s="3" t="str">
        <f>GenBS!A39</f>
        <v>Maplewood Career Center</v>
      </c>
      <c r="BE39" s="16" t="b">
        <f t="shared" si="4"/>
        <v>1</v>
      </c>
      <c r="BG39" s="3" t="str">
        <f t="shared" si="5"/>
        <v>Portage</v>
      </c>
      <c r="BH39" s="16" t="b">
        <f t="shared" si="6"/>
        <v>1</v>
      </c>
      <c r="BJ39" s="16" t="b">
        <f>C39=GenBS!C39</f>
        <v>1</v>
      </c>
    </row>
    <row r="40" spans="1:62">
      <c r="A40" s="3" t="s">
        <v>223</v>
      </c>
      <c r="B40" s="16"/>
      <c r="C40" s="16" t="s">
        <v>181</v>
      </c>
      <c r="E40" s="16">
        <v>62109</v>
      </c>
      <c r="G40" s="3">
        <v>7159396</v>
      </c>
      <c r="H40" s="3"/>
      <c r="I40" s="3">
        <v>8214100</v>
      </c>
      <c r="J40" s="3"/>
      <c r="K40" s="3">
        <v>10542</v>
      </c>
      <c r="L40" s="3"/>
      <c r="M40" s="3">
        <f>31026+4520+115831</f>
        <v>151377</v>
      </c>
      <c r="N40" s="3"/>
      <c r="O40" s="3">
        <v>0</v>
      </c>
      <c r="P40" s="3"/>
      <c r="Q40" s="3">
        <v>17108</v>
      </c>
      <c r="R40" s="3"/>
      <c r="S40" s="3">
        <v>0</v>
      </c>
      <c r="T40" s="3"/>
      <c r="U40" s="3">
        <v>73859</v>
      </c>
      <c r="V40" s="3"/>
      <c r="W40" s="8">
        <f t="shared" si="7"/>
        <v>15626382</v>
      </c>
      <c r="X40" s="3"/>
      <c r="Y40" s="3">
        <v>0</v>
      </c>
      <c r="Z40" s="3"/>
      <c r="AA40" s="3"/>
      <c r="AB40" s="3"/>
      <c r="AC40" s="3">
        <v>0</v>
      </c>
      <c r="AD40" s="3"/>
      <c r="AE40" s="3" t="s">
        <v>223</v>
      </c>
      <c r="AF40" s="16"/>
      <c r="AG40" s="16" t="s">
        <v>181</v>
      </c>
      <c r="AH40" s="3"/>
      <c r="AI40" s="3">
        <v>0</v>
      </c>
      <c r="AJ40" s="3"/>
      <c r="AK40" s="3">
        <v>0</v>
      </c>
      <c r="AL40" s="3"/>
      <c r="AM40" s="3">
        <v>0</v>
      </c>
      <c r="AN40" s="3"/>
      <c r="AO40" s="3">
        <v>0</v>
      </c>
      <c r="AP40" s="3"/>
      <c r="AQ40" s="3">
        <v>0</v>
      </c>
      <c r="AR40" s="3"/>
      <c r="AS40" s="3">
        <v>0</v>
      </c>
      <c r="AT40" s="3"/>
      <c r="AU40" s="3">
        <f t="shared" si="0"/>
        <v>0</v>
      </c>
      <c r="AV40" s="3"/>
      <c r="AW40" s="3">
        <f t="shared" si="1"/>
        <v>15626382</v>
      </c>
      <c r="AZ40" s="3"/>
      <c r="BA40" s="3" t="str">
        <f t="shared" si="2"/>
        <v>Medina County JVSD</v>
      </c>
      <c r="BB40" s="3" t="b">
        <f t="shared" si="3"/>
        <v>1</v>
      </c>
      <c r="BC40" s="3"/>
      <c r="BD40" s="3" t="str">
        <f>GenBS!A40</f>
        <v>Medina County JVSD</v>
      </c>
      <c r="BE40" s="16" t="b">
        <f t="shared" si="4"/>
        <v>1</v>
      </c>
      <c r="BG40" s="3" t="str">
        <f t="shared" si="5"/>
        <v>Medina</v>
      </c>
      <c r="BH40" s="16" t="b">
        <f t="shared" si="6"/>
        <v>1</v>
      </c>
      <c r="BJ40" s="16" t="b">
        <f>C40=GenBS!C40</f>
        <v>1</v>
      </c>
    </row>
    <row r="41" spans="1:62">
      <c r="A41" s="3" t="s">
        <v>310</v>
      </c>
      <c r="B41" s="16"/>
      <c r="C41" s="16" t="s">
        <v>184</v>
      </c>
      <c r="E41" s="16">
        <v>51284</v>
      </c>
      <c r="G41" s="3">
        <v>13031723</v>
      </c>
      <c r="H41" s="3"/>
      <c r="I41" s="3">
        <v>16813268</v>
      </c>
      <c r="J41" s="3"/>
      <c r="K41" s="3">
        <v>9657</v>
      </c>
      <c r="L41" s="3"/>
      <c r="M41" s="3">
        <f>3619472+69000</f>
        <v>3688472</v>
      </c>
      <c r="N41" s="3"/>
      <c r="O41" s="3">
        <v>6176</v>
      </c>
      <c r="P41" s="3"/>
      <c r="Q41" s="3">
        <v>0</v>
      </c>
      <c r="R41" s="3"/>
      <c r="S41" s="3">
        <v>0</v>
      </c>
      <c r="T41" s="3"/>
      <c r="U41" s="3">
        <v>281800</v>
      </c>
      <c r="V41" s="3"/>
      <c r="W41" s="8">
        <f t="shared" si="7"/>
        <v>33831096</v>
      </c>
      <c r="X41" s="3"/>
      <c r="Y41" s="3">
        <v>0</v>
      </c>
      <c r="Z41" s="3"/>
      <c r="AA41" s="3"/>
      <c r="AB41" s="3"/>
      <c r="AC41" s="3">
        <v>0</v>
      </c>
      <c r="AD41" s="3"/>
      <c r="AE41" s="3" t="s">
        <v>310</v>
      </c>
      <c r="AF41" s="16"/>
      <c r="AG41" s="16" t="s">
        <v>184</v>
      </c>
      <c r="AH41" s="3"/>
      <c r="AI41" s="3">
        <v>0</v>
      </c>
      <c r="AJ41" s="3"/>
      <c r="AK41" s="3">
        <v>0</v>
      </c>
      <c r="AL41" s="3"/>
      <c r="AM41" s="3">
        <v>0</v>
      </c>
      <c r="AN41" s="3"/>
      <c r="AO41" s="3">
        <v>0</v>
      </c>
      <c r="AP41" s="3"/>
      <c r="AQ41" s="3">
        <v>0</v>
      </c>
      <c r="AR41" s="3"/>
      <c r="AS41" s="3">
        <v>0</v>
      </c>
      <c r="AT41" s="3"/>
      <c r="AU41" s="3">
        <f t="shared" si="0"/>
        <v>0</v>
      </c>
      <c r="AV41" s="3"/>
      <c r="AW41" s="3">
        <f t="shared" si="1"/>
        <v>33831096</v>
      </c>
      <c r="AZ41" s="3" t="s">
        <v>396</v>
      </c>
      <c r="BA41" s="3" t="str">
        <f t="shared" si="2"/>
        <v>Miami Valley Career Tech Center</v>
      </c>
      <c r="BB41" s="3" t="b">
        <f t="shared" si="3"/>
        <v>1</v>
      </c>
      <c r="BC41" s="3"/>
      <c r="BD41" s="3" t="str">
        <f>GenBS!A41</f>
        <v>Miami Valley Career Tech Center</v>
      </c>
      <c r="BE41" s="16" t="b">
        <f t="shared" si="4"/>
        <v>1</v>
      </c>
      <c r="BG41" s="3" t="str">
        <f t="shared" si="5"/>
        <v>Montgomery</v>
      </c>
      <c r="BH41" s="16" t="b">
        <f t="shared" si="6"/>
        <v>1</v>
      </c>
      <c r="BJ41" s="16" t="b">
        <f>C41=GenBS!C41</f>
        <v>1</v>
      </c>
    </row>
    <row r="42" spans="1:62">
      <c r="A42" s="3" t="s">
        <v>397</v>
      </c>
      <c r="B42" s="16"/>
      <c r="C42" s="16" t="s">
        <v>186</v>
      </c>
      <c r="E42" s="16">
        <v>51300</v>
      </c>
      <c r="G42" s="3">
        <v>5747148</v>
      </c>
      <c r="H42" s="3"/>
      <c r="I42" s="3">
        <v>8837150</v>
      </c>
      <c r="J42" s="3"/>
      <c r="K42" s="3">
        <v>130488</v>
      </c>
      <c r="L42" s="3"/>
      <c r="M42" s="3">
        <f>158685+1742+145955</f>
        <v>306382</v>
      </c>
      <c r="N42" s="3"/>
      <c r="O42" s="3">
        <v>0</v>
      </c>
      <c r="P42" s="3"/>
      <c r="Q42" s="3">
        <v>50513</v>
      </c>
      <c r="R42" s="3"/>
      <c r="S42" s="3">
        <v>95900</v>
      </c>
      <c r="T42" s="3"/>
      <c r="U42" s="3">
        <v>44212</v>
      </c>
      <c r="V42" s="3"/>
      <c r="W42" s="8">
        <f t="shared" si="7"/>
        <v>15211793</v>
      </c>
      <c r="X42" s="3"/>
      <c r="Y42" s="3">
        <v>36993</v>
      </c>
      <c r="Z42" s="3"/>
      <c r="AA42" s="3"/>
      <c r="AB42" s="3"/>
      <c r="AC42" s="3">
        <v>0</v>
      </c>
      <c r="AD42" s="3"/>
      <c r="AE42" s="3" t="s">
        <v>397</v>
      </c>
      <c r="AF42" s="16"/>
      <c r="AG42" s="16" t="s">
        <v>186</v>
      </c>
      <c r="AH42" s="3"/>
      <c r="AI42" s="3">
        <v>0</v>
      </c>
      <c r="AJ42" s="3"/>
      <c r="AK42" s="3">
        <v>0</v>
      </c>
      <c r="AL42" s="3"/>
      <c r="AM42" s="3">
        <v>0</v>
      </c>
      <c r="AN42" s="3"/>
      <c r="AO42" s="3">
        <v>0</v>
      </c>
      <c r="AP42" s="3"/>
      <c r="AQ42" s="3">
        <v>0</v>
      </c>
      <c r="AR42" s="3"/>
      <c r="AS42" s="3">
        <v>0</v>
      </c>
      <c r="AT42" s="3"/>
      <c r="AU42" s="3">
        <f t="shared" si="0"/>
        <v>36993</v>
      </c>
      <c r="AV42" s="3"/>
      <c r="AW42" s="3">
        <f t="shared" si="1"/>
        <v>15248786</v>
      </c>
      <c r="AZ42" s="3"/>
      <c r="BA42" s="3" t="str">
        <f t="shared" si="2"/>
        <v>Mid-East Career &amp; Tech Centers</v>
      </c>
      <c r="BB42" s="3" t="b">
        <f t="shared" si="3"/>
        <v>1</v>
      </c>
      <c r="BC42" s="3"/>
      <c r="BD42" s="3" t="str">
        <f>GenBS!A42</f>
        <v>Mid-East Career &amp; Tech Centers</v>
      </c>
      <c r="BE42" s="16" t="b">
        <f t="shared" si="4"/>
        <v>1</v>
      </c>
      <c r="BG42" s="3" t="str">
        <f t="shared" si="5"/>
        <v>Muskingum</v>
      </c>
      <c r="BH42" s="16" t="b">
        <f t="shared" si="6"/>
        <v>1</v>
      </c>
      <c r="BJ42" s="16" t="b">
        <f>C42=GenBS!C42</f>
        <v>1</v>
      </c>
    </row>
    <row r="43" spans="1:62">
      <c r="A43" s="3" t="s">
        <v>218</v>
      </c>
      <c r="B43" s="16"/>
      <c r="C43" s="16" t="s">
        <v>177</v>
      </c>
      <c r="E43" s="16">
        <v>51334</v>
      </c>
      <c r="G43" s="3">
        <v>4971729</v>
      </c>
      <c r="H43" s="3"/>
      <c r="I43" s="3">
        <v>6746018</v>
      </c>
      <c r="J43" s="3"/>
      <c r="K43" s="3">
        <v>43708</v>
      </c>
      <c r="L43" s="3"/>
      <c r="M43" s="3">
        <f>1747471+18503</f>
        <v>1765974</v>
      </c>
      <c r="N43" s="3"/>
      <c r="O43" s="3">
        <v>0</v>
      </c>
      <c r="P43" s="3"/>
      <c r="Q43" s="3">
        <v>0</v>
      </c>
      <c r="R43" s="3"/>
      <c r="S43" s="3">
        <v>0</v>
      </c>
      <c r="T43" s="3"/>
      <c r="U43" s="3">
        <v>223790</v>
      </c>
      <c r="V43" s="3"/>
      <c r="W43" s="8">
        <f t="shared" si="7"/>
        <v>13751219</v>
      </c>
      <c r="X43" s="3"/>
      <c r="Y43" s="3">
        <v>0</v>
      </c>
      <c r="Z43" s="3"/>
      <c r="AA43" s="3"/>
      <c r="AB43" s="3"/>
      <c r="AC43" s="3">
        <v>0</v>
      </c>
      <c r="AD43" s="3"/>
      <c r="AE43" s="3" t="s">
        <v>218</v>
      </c>
      <c r="AF43" s="16"/>
      <c r="AG43" s="16" t="s">
        <v>177</v>
      </c>
      <c r="AH43" s="3"/>
      <c r="AI43" s="3">
        <v>0</v>
      </c>
      <c r="AJ43" s="3"/>
      <c r="AK43" s="3">
        <v>0</v>
      </c>
      <c r="AL43" s="3"/>
      <c r="AM43" s="3">
        <v>0</v>
      </c>
      <c r="AN43" s="3"/>
      <c r="AO43" s="3">
        <v>0</v>
      </c>
      <c r="AP43" s="3"/>
      <c r="AQ43" s="3">
        <v>0</v>
      </c>
      <c r="AR43" s="3"/>
      <c r="AS43" s="3">
        <v>0</v>
      </c>
      <c r="AT43" s="3"/>
      <c r="AU43" s="3">
        <f t="shared" si="0"/>
        <v>0</v>
      </c>
      <c r="AV43" s="3"/>
      <c r="AW43" s="3">
        <f t="shared" si="1"/>
        <v>13751219</v>
      </c>
      <c r="AZ43" s="32" t="s">
        <v>401</v>
      </c>
      <c r="BA43" s="3" t="str">
        <f t="shared" si="2"/>
        <v>Ohio Hi-Point JVSD</v>
      </c>
      <c r="BB43" s="3" t="b">
        <f t="shared" si="3"/>
        <v>1</v>
      </c>
      <c r="BC43" s="3"/>
      <c r="BD43" s="3" t="str">
        <f>GenBS!A43</f>
        <v>Ohio Hi-Point JVSD</v>
      </c>
      <c r="BE43" s="16" t="b">
        <f t="shared" si="4"/>
        <v>1</v>
      </c>
      <c r="BG43" s="3" t="str">
        <f t="shared" si="5"/>
        <v>Logan</v>
      </c>
      <c r="BH43" s="16" t="b">
        <f t="shared" si="6"/>
        <v>1</v>
      </c>
      <c r="BJ43" s="16" t="b">
        <f>C43=GenBS!C43</f>
        <v>1</v>
      </c>
    </row>
    <row r="44" spans="1:62">
      <c r="A44" s="3" t="s">
        <v>402</v>
      </c>
      <c r="B44" s="16"/>
      <c r="C44" s="16" t="s">
        <v>209</v>
      </c>
      <c r="E44" s="16">
        <v>51359</v>
      </c>
      <c r="G44" s="3">
        <v>11178112</v>
      </c>
      <c r="H44" s="3"/>
      <c r="I44" s="3">
        <v>16397043</v>
      </c>
      <c r="J44" s="3"/>
      <c r="K44" s="3">
        <v>220700</v>
      </c>
      <c r="L44" s="3"/>
      <c r="M44" s="3">
        <f>6558+304084+1000</f>
        <v>311642</v>
      </c>
      <c r="N44" s="3"/>
      <c r="O44" s="3">
        <v>12166</v>
      </c>
      <c r="P44" s="3"/>
      <c r="Q44" s="3">
        <v>251530</v>
      </c>
      <c r="R44" s="3"/>
      <c r="S44" s="3">
        <v>1145</v>
      </c>
      <c r="T44" s="3"/>
      <c r="U44" s="3">
        <f>7566+254167</f>
        <v>261733</v>
      </c>
      <c r="V44" s="3"/>
      <c r="W44" s="8">
        <f t="shared" si="7"/>
        <v>28634071</v>
      </c>
      <c r="X44" s="3"/>
      <c r="Y44" s="3">
        <v>0</v>
      </c>
      <c r="Z44" s="3"/>
      <c r="AA44" s="3"/>
      <c r="AB44" s="3"/>
      <c r="AC44" s="3">
        <v>0</v>
      </c>
      <c r="AD44" s="3"/>
      <c r="AE44" s="3" t="s">
        <v>402</v>
      </c>
      <c r="AF44" s="16"/>
      <c r="AG44" s="16" t="s">
        <v>209</v>
      </c>
      <c r="AH44" s="3"/>
      <c r="AI44" s="3">
        <v>0</v>
      </c>
      <c r="AJ44" s="3"/>
      <c r="AK44" s="3">
        <v>0</v>
      </c>
      <c r="AL44" s="3"/>
      <c r="AM44" s="3">
        <v>0</v>
      </c>
      <c r="AN44" s="3"/>
      <c r="AO44" s="3">
        <v>0</v>
      </c>
      <c r="AP44" s="3"/>
      <c r="AQ44" s="3">
        <v>0</v>
      </c>
      <c r="AR44" s="3"/>
      <c r="AS44" s="3">
        <v>0</v>
      </c>
      <c r="AT44" s="3"/>
      <c r="AU44" s="3">
        <f t="shared" si="0"/>
        <v>0</v>
      </c>
      <c r="AV44" s="3"/>
      <c r="AW44" s="3">
        <f t="shared" si="1"/>
        <v>28634071</v>
      </c>
      <c r="AZ44" s="32" t="s">
        <v>403</v>
      </c>
      <c r="BA44" s="3" t="str">
        <f t="shared" si="2"/>
        <v>Penta Career Center</v>
      </c>
      <c r="BB44" s="3" t="b">
        <f t="shared" si="3"/>
        <v>1</v>
      </c>
      <c r="BC44" s="3"/>
      <c r="BD44" s="3" t="str">
        <f>GenBS!A44</f>
        <v>Penta Career Center</v>
      </c>
      <c r="BE44" s="16" t="b">
        <f t="shared" si="4"/>
        <v>1</v>
      </c>
      <c r="BG44" s="3" t="str">
        <f t="shared" si="5"/>
        <v>Wood</v>
      </c>
      <c r="BH44" s="16" t="b">
        <f t="shared" si="6"/>
        <v>1</v>
      </c>
      <c r="BJ44" s="16" t="b">
        <f>C44=GenBS!C44</f>
        <v>1</v>
      </c>
    </row>
    <row r="45" spans="1:62">
      <c r="A45" s="3" t="s">
        <v>407</v>
      </c>
      <c r="B45" s="16"/>
      <c r="C45" s="16" t="s">
        <v>194</v>
      </c>
      <c r="E45" s="16">
        <v>51433</v>
      </c>
      <c r="G45" s="3">
        <v>5084690</v>
      </c>
      <c r="H45" s="3"/>
      <c r="I45" s="3">
        <v>10937146</v>
      </c>
      <c r="J45" s="3"/>
      <c r="K45" s="3">
        <v>48804</v>
      </c>
      <c r="L45" s="3"/>
      <c r="M45" s="3">
        <f>3055+1595+35750</f>
        <v>40400</v>
      </c>
      <c r="N45" s="3"/>
      <c r="O45" s="3">
        <v>0</v>
      </c>
      <c r="P45" s="3"/>
      <c r="Q45" s="3">
        <v>594</v>
      </c>
      <c r="R45" s="3"/>
      <c r="S45" s="3">
        <v>0</v>
      </c>
      <c r="T45" s="3"/>
      <c r="U45" s="3">
        <v>90795</v>
      </c>
      <c r="V45" s="3"/>
      <c r="W45" s="8">
        <f t="shared" si="7"/>
        <v>16202429</v>
      </c>
      <c r="X45" s="3"/>
      <c r="Y45" s="3">
        <v>0</v>
      </c>
      <c r="Z45" s="3"/>
      <c r="AA45" s="3"/>
      <c r="AB45" s="3"/>
      <c r="AC45" s="3">
        <v>0</v>
      </c>
      <c r="AD45" s="3"/>
      <c r="AE45" s="3" t="s">
        <v>407</v>
      </c>
      <c r="AF45" s="16"/>
      <c r="AG45" s="16" t="s">
        <v>194</v>
      </c>
      <c r="AH45" s="3"/>
      <c r="AI45" s="3">
        <v>0</v>
      </c>
      <c r="AJ45" s="3"/>
      <c r="AK45" s="3">
        <v>0</v>
      </c>
      <c r="AL45" s="3"/>
      <c r="AM45" s="3">
        <v>0</v>
      </c>
      <c r="AN45" s="3"/>
      <c r="AO45" s="3">
        <v>0</v>
      </c>
      <c r="AP45" s="3"/>
      <c r="AQ45" s="3">
        <v>0</v>
      </c>
      <c r="AR45" s="3"/>
      <c r="AS45" s="3">
        <v>0</v>
      </c>
      <c r="AT45" s="3"/>
      <c r="AU45" s="3">
        <f t="shared" si="0"/>
        <v>0</v>
      </c>
      <c r="AV45" s="3"/>
      <c r="AW45" s="3">
        <f t="shared" si="1"/>
        <v>16202429</v>
      </c>
      <c r="AZ45" s="3"/>
      <c r="BA45" s="3" t="str">
        <f t="shared" si="2"/>
        <v>Pickaway-Ross Career &amp; Tech Center</v>
      </c>
      <c r="BB45" s="3" t="b">
        <f t="shared" si="3"/>
        <v>1</v>
      </c>
      <c r="BC45" s="3"/>
      <c r="BD45" s="3" t="str">
        <f>GenBS!A45</f>
        <v>Pickaway-Ross Career &amp; Tech Center</v>
      </c>
      <c r="BE45" s="16" t="b">
        <f t="shared" si="4"/>
        <v>1</v>
      </c>
      <c r="BG45" s="3" t="str">
        <f t="shared" si="5"/>
        <v>Ross</v>
      </c>
      <c r="BH45" s="16" t="b">
        <f t="shared" si="6"/>
        <v>1</v>
      </c>
      <c r="BJ45" s="16" t="b">
        <f>C45=GenBS!C45</f>
        <v>1</v>
      </c>
    </row>
    <row r="46" spans="1:62">
      <c r="A46" s="3" t="s">
        <v>257</v>
      </c>
      <c r="B46" s="16"/>
      <c r="C46" s="16" t="s">
        <v>225</v>
      </c>
      <c r="E46" s="16">
        <v>51375</v>
      </c>
      <c r="G46" s="3">
        <v>793847</v>
      </c>
      <c r="H46" s="3"/>
      <c r="I46" s="3">
        <v>4916894</v>
      </c>
      <c r="J46" s="3"/>
      <c r="K46" s="3">
        <v>11636</v>
      </c>
      <c r="L46" s="3"/>
      <c r="M46" s="3">
        <f>122593+7634+105778</f>
        <v>236005</v>
      </c>
      <c r="N46" s="3"/>
      <c r="O46" s="3">
        <v>0</v>
      </c>
      <c r="P46" s="3"/>
      <c r="Q46" s="3">
        <v>438</v>
      </c>
      <c r="R46" s="3"/>
      <c r="S46" s="3">
        <v>4706</v>
      </c>
      <c r="T46" s="3"/>
      <c r="U46" s="3">
        <v>88003</v>
      </c>
      <c r="V46" s="3"/>
      <c r="W46" s="8">
        <f t="shared" si="7"/>
        <v>6051529</v>
      </c>
      <c r="X46" s="3"/>
      <c r="Y46" s="3">
        <v>0</v>
      </c>
      <c r="Z46" s="3"/>
      <c r="AA46" s="3"/>
      <c r="AB46" s="3"/>
      <c r="AC46" s="3">
        <v>0</v>
      </c>
      <c r="AD46" s="3"/>
      <c r="AE46" s="3" t="s">
        <v>257</v>
      </c>
      <c r="AF46" s="16"/>
      <c r="AG46" s="16" t="s">
        <v>225</v>
      </c>
      <c r="AH46" s="3"/>
      <c r="AI46" s="3">
        <v>0</v>
      </c>
      <c r="AJ46" s="3"/>
      <c r="AK46" s="3">
        <v>0</v>
      </c>
      <c r="AL46" s="3"/>
      <c r="AM46" s="3">
        <v>0</v>
      </c>
      <c r="AN46" s="3"/>
      <c r="AO46" s="3">
        <v>0</v>
      </c>
      <c r="AP46" s="3"/>
      <c r="AQ46" s="3">
        <v>0</v>
      </c>
      <c r="AR46" s="3"/>
      <c r="AS46" s="3">
        <v>0</v>
      </c>
      <c r="AT46" s="3"/>
      <c r="AU46" s="3">
        <f t="shared" ref="AU46:AU64" si="8">SUM(Y46:AS46)</f>
        <v>0</v>
      </c>
      <c r="AV46" s="3"/>
      <c r="AW46" s="3">
        <f t="shared" ref="AW46:AW64" si="9">+AU46+W46</f>
        <v>6051529</v>
      </c>
      <c r="AZ46" s="3"/>
      <c r="BA46" s="3" t="str">
        <f t="shared" ref="BA46:BA64" si="10">A46</f>
        <v>Pike County JVSD</v>
      </c>
      <c r="BB46" s="3" t="b">
        <f t="shared" ref="BB46:BB64" si="11">A46=AE46</f>
        <v>1</v>
      </c>
      <c r="BC46" s="3"/>
      <c r="BD46" s="3" t="str">
        <f>GenBS!A46</f>
        <v>Pike County JVSD</v>
      </c>
      <c r="BE46" s="16" t="b">
        <f t="shared" ref="BE46:BE64" si="12">BA46=BD46</f>
        <v>1</v>
      </c>
      <c r="BG46" s="3" t="str">
        <f t="shared" ref="BG46:BG64" si="13">C46</f>
        <v>Pike</v>
      </c>
      <c r="BH46" s="16" t="b">
        <f t="shared" ref="BH46:BH64" si="14">C46=AG46</f>
        <v>1</v>
      </c>
      <c r="BJ46" s="16" t="b">
        <f>C46=GenBS!C46</f>
        <v>1</v>
      </c>
    </row>
    <row r="47" spans="1:62">
      <c r="A47" s="3" t="s">
        <v>311</v>
      </c>
      <c r="B47" s="16"/>
      <c r="C47" s="16" t="s">
        <v>193</v>
      </c>
      <c r="E47" s="16">
        <v>51417</v>
      </c>
      <c r="G47" s="3">
        <v>3675558</v>
      </c>
      <c r="H47" s="3"/>
      <c r="I47" s="3">
        <v>11415444</v>
      </c>
      <c r="J47" s="3"/>
      <c r="K47" s="3">
        <v>317942</v>
      </c>
      <c r="L47" s="3"/>
      <c r="M47" s="3">
        <f>144717+133546</f>
        <v>278263</v>
      </c>
      <c r="N47" s="3"/>
      <c r="O47" s="3">
        <v>21863</v>
      </c>
      <c r="P47" s="3"/>
      <c r="Q47" s="3">
        <v>0</v>
      </c>
      <c r="R47" s="3"/>
      <c r="S47" s="3">
        <v>5347</v>
      </c>
      <c r="T47" s="3"/>
      <c r="U47" s="3">
        <v>129472</v>
      </c>
      <c r="V47" s="3"/>
      <c r="W47" s="8">
        <f t="shared" si="7"/>
        <v>15843889</v>
      </c>
      <c r="X47" s="3"/>
      <c r="Y47" s="3">
        <v>0</v>
      </c>
      <c r="Z47" s="3"/>
      <c r="AA47" s="3"/>
      <c r="AB47" s="3"/>
      <c r="AC47" s="3">
        <v>0</v>
      </c>
      <c r="AD47" s="3"/>
      <c r="AE47" s="3" t="s">
        <v>311</v>
      </c>
      <c r="AF47" s="16"/>
      <c r="AG47" s="16" t="s">
        <v>193</v>
      </c>
      <c r="AH47" s="3"/>
      <c r="AI47" s="3">
        <v>0</v>
      </c>
      <c r="AJ47" s="3"/>
      <c r="AK47" s="3">
        <v>75449</v>
      </c>
      <c r="AL47" s="3"/>
      <c r="AM47" s="3">
        <v>3778</v>
      </c>
      <c r="AN47" s="3"/>
      <c r="AO47" s="3">
        <v>0</v>
      </c>
      <c r="AP47" s="3"/>
      <c r="AQ47" s="3">
        <v>0</v>
      </c>
      <c r="AR47" s="3"/>
      <c r="AS47" s="3">
        <v>0</v>
      </c>
      <c r="AT47" s="3"/>
      <c r="AU47" s="3">
        <f t="shared" si="8"/>
        <v>79227</v>
      </c>
      <c r="AV47" s="3"/>
      <c r="AW47" s="3">
        <f t="shared" si="9"/>
        <v>15923116</v>
      </c>
      <c r="AZ47" s="32"/>
      <c r="BA47" s="3" t="str">
        <f t="shared" si="10"/>
        <v>Pioneer Career &amp; Tech Center</v>
      </c>
      <c r="BB47" s="3" t="b">
        <f t="shared" si="11"/>
        <v>1</v>
      </c>
      <c r="BC47" s="3"/>
      <c r="BD47" s="3" t="str">
        <f>GenBS!A47</f>
        <v>Pioneer Career &amp; Tech Center</v>
      </c>
      <c r="BE47" s="16" t="b">
        <f t="shared" si="12"/>
        <v>1</v>
      </c>
      <c r="BG47" s="3" t="str">
        <f t="shared" si="13"/>
        <v>Richland</v>
      </c>
      <c r="BH47" s="16" t="b">
        <f t="shared" si="14"/>
        <v>1</v>
      </c>
      <c r="BJ47" s="16" t="b">
        <f>C47=GenBS!C47</f>
        <v>1</v>
      </c>
    </row>
    <row r="48" spans="1:62">
      <c r="A48" s="3" t="s">
        <v>258</v>
      </c>
      <c r="B48" s="16"/>
      <c r="C48" s="16" t="s">
        <v>160</v>
      </c>
      <c r="E48" s="16">
        <v>50948</v>
      </c>
      <c r="G48" s="3">
        <v>9285422</v>
      </c>
      <c r="H48" s="3"/>
      <c r="I48" s="3">
        <v>4537376</v>
      </c>
      <c r="J48" s="3"/>
      <c r="K48" s="3">
        <v>81637</v>
      </c>
      <c r="L48" s="3"/>
      <c r="M48" s="3">
        <f>140249+9830</f>
        <v>150079</v>
      </c>
      <c r="N48" s="3"/>
      <c r="O48" s="3">
        <v>0</v>
      </c>
      <c r="P48" s="3"/>
      <c r="Q48" s="3">
        <v>0</v>
      </c>
      <c r="R48" s="3"/>
      <c r="S48" s="3">
        <v>0</v>
      </c>
      <c r="T48" s="3"/>
      <c r="U48" s="3">
        <v>46294</v>
      </c>
      <c r="V48" s="3"/>
      <c r="W48" s="8">
        <f t="shared" si="7"/>
        <v>14100808</v>
      </c>
      <c r="X48" s="3"/>
      <c r="Y48" s="3">
        <v>0</v>
      </c>
      <c r="Z48" s="3"/>
      <c r="AA48" s="3"/>
      <c r="AB48" s="3"/>
      <c r="AC48" s="3">
        <v>0</v>
      </c>
      <c r="AD48" s="3"/>
      <c r="AE48" s="3" t="s">
        <v>258</v>
      </c>
      <c r="AF48" s="16"/>
      <c r="AG48" s="16" t="s">
        <v>160</v>
      </c>
      <c r="AH48" s="3"/>
      <c r="AI48" s="3">
        <v>0</v>
      </c>
      <c r="AJ48" s="3"/>
      <c r="AK48" s="3">
        <v>0</v>
      </c>
      <c r="AL48" s="3"/>
      <c r="AM48" s="3">
        <v>0</v>
      </c>
      <c r="AN48" s="3"/>
      <c r="AO48" s="3">
        <v>0</v>
      </c>
      <c r="AP48" s="3"/>
      <c r="AQ48" s="3">
        <v>0</v>
      </c>
      <c r="AR48" s="3"/>
      <c r="AS48" s="3">
        <v>0</v>
      </c>
      <c r="AT48" s="3"/>
      <c r="AU48" s="3">
        <f t="shared" si="8"/>
        <v>0</v>
      </c>
      <c r="AV48" s="3"/>
      <c r="AW48" s="3">
        <f t="shared" si="9"/>
        <v>14100808</v>
      </c>
      <c r="AZ48" s="3"/>
      <c r="BA48" s="3" t="str">
        <f t="shared" si="10"/>
        <v>Polaris Career Center</v>
      </c>
      <c r="BB48" s="3" t="b">
        <f t="shared" si="11"/>
        <v>1</v>
      </c>
      <c r="BC48" s="3"/>
      <c r="BD48" s="3" t="str">
        <f>GenBS!A48</f>
        <v>Polaris Career Center</v>
      </c>
      <c r="BE48" s="16" t="b">
        <f t="shared" si="12"/>
        <v>1</v>
      </c>
      <c r="BG48" s="3" t="str">
        <f t="shared" si="13"/>
        <v>Cuyahoga</v>
      </c>
      <c r="BH48" s="16" t="b">
        <f t="shared" si="14"/>
        <v>1</v>
      </c>
      <c r="BJ48" s="16" t="b">
        <f>C48=GenBS!C48</f>
        <v>1</v>
      </c>
    </row>
    <row r="49" spans="1:62">
      <c r="A49" s="3" t="s">
        <v>259</v>
      </c>
      <c r="B49" s="16"/>
      <c r="C49" s="16" t="s">
        <v>200</v>
      </c>
      <c r="E49" s="16">
        <v>63495</v>
      </c>
      <c r="G49" s="3">
        <v>3001087</v>
      </c>
      <c r="H49" s="3"/>
      <c r="I49" s="3">
        <v>3171455</v>
      </c>
      <c r="J49" s="3"/>
      <c r="K49" s="3">
        <v>33861</v>
      </c>
      <c r="L49" s="3"/>
      <c r="M49" s="3">
        <f>531683+33535</f>
        <v>565218</v>
      </c>
      <c r="N49" s="3"/>
      <c r="O49" s="3">
        <v>7639</v>
      </c>
      <c r="P49" s="3"/>
      <c r="Q49" s="3">
        <v>0</v>
      </c>
      <c r="R49" s="3"/>
      <c r="S49" s="3">
        <v>0</v>
      </c>
      <c r="T49" s="3"/>
      <c r="U49" s="3">
        <v>25818</v>
      </c>
      <c r="V49" s="3"/>
      <c r="W49" s="8">
        <f t="shared" si="7"/>
        <v>6805078</v>
      </c>
      <c r="X49" s="3"/>
      <c r="Y49" s="3">
        <v>0</v>
      </c>
      <c r="Z49" s="3"/>
      <c r="AA49" s="3"/>
      <c r="AB49" s="3"/>
      <c r="AC49" s="3">
        <v>0</v>
      </c>
      <c r="AD49" s="3"/>
      <c r="AE49" s="3" t="s">
        <v>259</v>
      </c>
      <c r="AF49" s="16"/>
      <c r="AG49" s="16" t="s">
        <v>200</v>
      </c>
      <c r="AH49" s="3"/>
      <c r="AI49" s="3">
        <v>0</v>
      </c>
      <c r="AJ49" s="3"/>
      <c r="AK49" s="3">
        <v>0</v>
      </c>
      <c r="AL49" s="3"/>
      <c r="AM49" s="3">
        <v>0</v>
      </c>
      <c r="AN49" s="3"/>
      <c r="AO49" s="3">
        <v>0</v>
      </c>
      <c r="AP49" s="3"/>
      <c r="AQ49" s="3">
        <v>0</v>
      </c>
      <c r="AR49" s="3"/>
      <c r="AS49" s="3">
        <v>0</v>
      </c>
      <c r="AT49" s="3"/>
      <c r="AU49" s="3">
        <f t="shared" si="8"/>
        <v>0</v>
      </c>
      <c r="AV49" s="3"/>
      <c r="AW49" s="3">
        <f t="shared" si="9"/>
        <v>6805078</v>
      </c>
      <c r="AZ49" s="3"/>
      <c r="BA49" s="3" t="str">
        <f t="shared" si="10"/>
        <v>Portage Lakes Career Center</v>
      </c>
      <c r="BB49" s="3" t="b">
        <f t="shared" si="11"/>
        <v>1</v>
      </c>
      <c r="BC49" s="3"/>
      <c r="BD49" s="3" t="str">
        <f>GenBS!A49</f>
        <v>Portage Lakes Career Center</v>
      </c>
      <c r="BE49" s="16" t="b">
        <f t="shared" si="12"/>
        <v>1</v>
      </c>
      <c r="BG49" s="3" t="str">
        <f t="shared" si="13"/>
        <v>Summit</v>
      </c>
      <c r="BH49" s="16" t="b">
        <f t="shared" si="14"/>
        <v>1</v>
      </c>
      <c r="BJ49" s="16" t="b">
        <f>C49=GenBS!C49</f>
        <v>1</v>
      </c>
    </row>
    <row r="50" spans="1:62">
      <c r="A50" s="3" t="s">
        <v>260</v>
      </c>
      <c r="B50" s="16"/>
      <c r="C50" s="16" t="s">
        <v>196</v>
      </c>
      <c r="E50" s="16">
        <v>51490</v>
      </c>
      <c r="G50" s="3">
        <v>1774312</v>
      </c>
      <c r="H50" s="3"/>
      <c r="I50" s="3">
        <v>4637779</v>
      </c>
      <c r="J50" s="3"/>
      <c r="K50" s="3">
        <v>47656</v>
      </c>
      <c r="L50" s="3"/>
      <c r="M50" s="3">
        <v>0</v>
      </c>
      <c r="N50" s="3"/>
      <c r="O50" s="3">
        <v>4363</v>
      </c>
      <c r="P50" s="3"/>
      <c r="Q50" s="3">
        <v>0</v>
      </c>
      <c r="R50" s="3"/>
      <c r="S50" s="3">
        <v>300</v>
      </c>
      <c r="T50" s="3"/>
      <c r="U50" s="3">
        <f>55421+11770+21548</f>
        <v>88739</v>
      </c>
      <c r="V50" s="3"/>
      <c r="W50" s="8">
        <f t="shared" si="7"/>
        <v>6553149</v>
      </c>
      <c r="X50" s="3"/>
      <c r="Y50" s="3">
        <v>0</v>
      </c>
      <c r="Z50" s="3"/>
      <c r="AA50" s="3">
        <v>0</v>
      </c>
      <c r="AB50" s="3"/>
      <c r="AC50" s="3">
        <v>0</v>
      </c>
      <c r="AD50" s="3"/>
      <c r="AE50" s="3" t="s">
        <v>260</v>
      </c>
      <c r="AF50" s="16"/>
      <c r="AG50" s="16" t="s">
        <v>196</v>
      </c>
      <c r="AH50" s="3"/>
      <c r="AI50" s="3">
        <v>0</v>
      </c>
      <c r="AJ50" s="3"/>
      <c r="AK50" s="3">
        <v>0</v>
      </c>
      <c r="AL50" s="3"/>
      <c r="AM50" s="3">
        <v>23908</v>
      </c>
      <c r="AN50" s="3"/>
      <c r="AO50" s="3">
        <v>0</v>
      </c>
      <c r="AP50" s="3"/>
      <c r="AQ50" s="3">
        <v>0</v>
      </c>
      <c r="AR50" s="3"/>
      <c r="AS50" s="3">
        <v>0</v>
      </c>
      <c r="AT50" s="3"/>
      <c r="AU50" s="3">
        <f t="shared" si="8"/>
        <v>23908</v>
      </c>
      <c r="AV50" s="3"/>
      <c r="AW50" s="3">
        <f t="shared" si="9"/>
        <v>6577057</v>
      </c>
      <c r="AZ50" s="3"/>
      <c r="BA50" s="3" t="str">
        <f t="shared" si="10"/>
        <v>Scioto County JVSD</v>
      </c>
      <c r="BB50" s="3" t="b">
        <f t="shared" si="11"/>
        <v>1</v>
      </c>
      <c r="BC50" s="3"/>
      <c r="BD50" s="3" t="str">
        <f>GenBS!A50</f>
        <v>Scioto County JVSD</v>
      </c>
      <c r="BE50" s="16" t="b">
        <f t="shared" si="12"/>
        <v>1</v>
      </c>
      <c r="BG50" s="3" t="str">
        <f t="shared" si="13"/>
        <v>Scioto</v>
      </c>
      <c r="BH50" s="16" t="b">
        <f t="shared" si="14"/>
        <v>1</v>
      </c>
      <c r="BJ50" s="16" t="b">
        <f>C50=GenBS!C50</f>
        <v>1</v>
      </c>
    </row>
    <row r="51" spans="1:62">
      <c r="A51" s="3" t="s">
        <v>211</v>
      </c>
      <c r="B51" s="16"/>
      <c r="C51" s="16" t="s">
        <v>153</v>
      </c>
      <c r="E51" s="16">
        <v>50799</v>
      </c>
      <c r="G51" s="3">
        <v>1687256</v>
      </c>
      <c r="H51" s="3"/>
      <c r="I51" s="3">
        <v>3708956</v>
      </c>
      <c r="J51" s="3"/>
      <c r="K51" s="3">
        <v>29779</v>
      </c>
      <c r="L51" s="3"/>
      <c r="M51" s="3">
        <v>10282</v>
      </c>
      <c r="N51" s="3"/>
      <c r="O51" s="3">
        <v>0</v>
      </c>
      <c r="P51" s="3"/>
      <c r="Q51" s="3">
        <v>0</v>
      </c>
      <c r="R51" s="3"/>
      <c r="S51" s="3">
        <v>0</v>
      </c>
      <c r="T51" s="3"/>
      <c r="U51" s="3">
        <f>3766+56665+899</f>
        <v>61330</v>
      </c>
      <c r="V51" s="3"/>
      <c r="W51" s="8">
        <f t="shared" si="7"/>
        <v>5497603</v>
      </c>
      <c r="X51" s="3"/>
      <c r="Y51" s="3">
        <v>0</v>
      </c>
      <c r="Z51" s="3"/>
      <c r="AA51" s="3">
        <v>0</v>
      </c>
      <c r="AB51" s="3"/>
      <c r="AC51" s="3">
        <v>0</v>
      </c>
      <c r="AD51" s="3"/>
      <c r="AE51" s="3" t="s">
        <v>211</v>
      </c>
      <c r="AF51" s="16"/>
      <c r="AG51" s="16" t="s">
        <v>153</v>
      </c>
      <c r="AH51" s="3"/>
      <c r="AI51" s="3">
        <v>0</v>
      </c>
      <c r="AJ51" s="3"/>
      <c r="AK51" s="3">
        <v>0</v>
      </c>
      <c r="AL51" s="3"/>
      <c r="AM51" s="3">
        <v>17104</v>
      </c>
      <c r="AN51" s="3"/>
      <c r="AO51" s="3">
        <v>0</v>
      </c>
      <c r="AP51" s="3"/>
      <c r="AQ51" s="3">
        <v>0</v>
      </c>
      <c r="AR51" s="3"/>
      <c r="AS51" s="3">
        <v>0</v>
      </c>
      <c r="AT51" s="3"/>
      <c r="AU51" s="3">
        <f t="shared" si="8"/>
        <v>17104</v>
      </c>
      <c r="AV51" s="3"/>
      <c r="AW51" s="3">
        <f t="shared" si="9"/>
        <v>5514707</v>
      </c>
      <c r="AZ51" s="3"/>
      <c r="BA51" s="3" t="str">
        <f t="shared" si="10"/>
        <v>Southern Hills JVSD</v>
      </c>
      <c r="BB51" s="3" t="b">
        <f t="shared" si="11"/>
        <v>1</v>
      </c>
      <c r="BC51" s="3"/>
      <c r="BD51" s="3" t="str">
        <f>GenBS!A51</f>
        <v>Southern Hills JVSD</v>
      </c>
      <c r="BE51" s="16" t="b">
        <f t="shared" si="12"/>
        <v>1</v>
      </c>
      <c r="BG51" s="3" t="str">
        <f t="shared" si="13"/>
        <v>Brown</v>
      </c>
      <c r="BH51" s="16" t="b">
        <f t="shared" si="14"/>
        <v>1</v>
      </c>
      <c r="BJ51" s="16" t="b">
        <f>C51=GenBS!C51</f>
        <v>1</v>
      </c>
    </row>
    <row r="52" spans="1:62">
      <c r="A52" s="3" t="s">
        <v>286</v>
      </c>
      <c r="B52" s="16"/>
      <c r="C52" s="16" t="s">
        <v>155</v>
      </c>
      <c r="E52" s="16">
        <v>51532</v>
      </c>
      <c r="G52" s="3">
        <v>4865492</v>
      </c>
      <c r="H52" s="3"/>
      <c r="I52" s="3">
        <v>6896126</v>
      </c>
      <c r="J52" s="3"/>
      <c r="K52" s="3">
        <v>21289</v>
      </c>
      <c r="L52" s="3"/>
      <c r="M52" s="3">
        <v>43286</v>
      </c>
      <c r="N52" s="3"/>
      <c r="O52" s="3">
        <v>0</v>
      </c>
      <c r="P52" s="3"/>
      <c r="Q52" s="3">
        <v>0</v>
      </c>
      <c r="R52" s="3"/>
      <c r="S52" s="3">
        <v>2353</v>
      </c>
      <c r="T52" s="3"/>
      <c r="U52" s="3">
        <f>10345+38809</f>
        <v>49154</v>
      </c>
      <c r="V52" s="3"/>
      <c r="W52" s="8">
        <f t="shared" si="7"/>
        <v>11877700</v>
      </c>
      <c r="X52" s="3"/>
      <c r="Y52" s="3">
        <v>1636</v>
      </c>
      <c r="Z52" s="3"/>
      <c r="AA52" s="3">
        <v>0</v>
      </c>
      <c r="AB52" s="3"/>
      <c r="AC52" s="3">
        <v>0</v>
      </c>
      <c r="AD52" s="3"/>
      <c r="AE52" s="3" t="s">
        <v>286</v>
      </c>
      <c r="AF52" s="16"/>
      <c r="AG52" s="16" t="s">
        <v>155</v>
      </c>
      <c r="AH52" s="3"/>
      <c r="AI52" s="3">
        <v>0</v>
      </c>
      <c r="AJ52" s="3"/>
      <c r="AK52" s="3">
        <v>0</v>
      </c>
      <c r="AL52" s="3"/>
      <c r="AM52" s="3">
        <v>6548</v>
      </c>
      <c r="AN52" s="3"/>
      <c r="AO52" s="3">
        <v>0</v>
      </c>
      <c r="AP52" s="3"/>
      <c r="AQ52" s="3">
        <v>0</v>
      </c>
      <c r="AR52" s="3"/>
      <c r="AS52" s="3">
        <v>0</v>
      </c>
      <c r="AT52" s="3"/>
      <c r="AU52" s="3">
        <f t="shared" si="8"/>
        <v>8184</v>
      </c>
      <c r="AV52" s="3"/>
      <c r="AW52" s="3">
        <f t="shared" si="9"/>
        <v>11885884</v>
      </c>
      <c r="AZ52" s="32"/>
      <c r="BA52" s="3" t="str">
        <f t="shared" si="10"/>
        <v>Springfield-Clark Co Career Tech Center</v>
      </c>
      <c r="BB52" s="3" t="b">
        <f t="shared" si="11"/>
        <v>1</v>
      </c>
      <c r="BC52" s="3"/>
      <c r="BD52" s="3" t="str">
        <f>GenBS!A52</f>
        <v>Springfield-Clark Co Career Tech Center</v>
      </c>
      <c r="BE52" s="16" t="b">
        <f t="shared" si="12"/>
        <v>1</v>
      </c>
      <c r="BG52" s="3" t="str">
        <f t="shared" si="13"/>
        <v>Clark</v>
      </c>
      <c r="BH52" s="16" t="b">
        <f t="shared" si="14"/>
        <v>1</v>
      </c>
      <c r="BJ52" s="16" t="b">
        <f>C52=GenBS!C52</f>
        <v>1</v>
      </c>
    </row>
    <row r="53" spans="1:62">
      <c r="A53" s="3" t="s">
        <v>226</v>
      </c>
      <c r="B53" s="16"/>
      <c r="C53" s="16" t="s">
        <v>199</v>
      </c>
      <c r="E53" s="16">
        <v>62026</v>
      </c>
      <c r="G53" s="3">
        <v>2559282</v>
      </c>
      <c r="H53" s="3"/>
      <c r="I53" s="3">
        <f>2556+5004171+21245</f>
        <v>5027972</v>
      </c>
      <c r="J53" s="3"/>
      <c r="K53" s="3">
        <v>132352</v>
      </c>
      <c r="L53" s="3"/>
      <c r="M53" s="3">
        <v>0</v>
      </c>
      <c r="N53" s="3"/>
      <c r="O53" s="3">
        <v>0</v>
      </c>
      <c r="P53" s="3"/>
      <c r="Q53" s="3">
        <v>0</v>
      </c>
      <c r="R53" s="3"/>
      <c r="S53" s="3">
        <v>0</v>
      </c>
      <c r="T53" s="3"/>
      <c r="U53" s="3">
        <v>223823</v>
      </c>
      <c r="V53" s="3"/>
      <c r="W53" s="8">
        <f t="shared" si="7"/>
        <v>7943429</v>
      </c>
      <c r="X53" s="3"/>
      <c r="Y53" s="3">
        <v>0</v>
      </c>
      <c r="Z53" s="3"/>
      <c r="AA53" s="3">
        <v>0</v>
      </c>
      <c r="AB53" s="3"/>
      <c r="AC53" s="3">
        <v>0</v>
      </c>
      <c r="AD53" s="3"/>
      <c r="AE53" s="3" t="s">
        <v>226</v>
      </c>
      <c r="AF53" s="16"/>
      <c r="AG53" s="16" t="s">
        <v>199</v>
      </c>
      <c r="AH53" s="3"/>
      <c r="AI53" s="3">
        <v>0</v>
      </c>
      <c r="AJ53" s="3"/>
      <c r="AK53" s="3">
        <v>0</v>
      </c>
      <c r="AL53" s="3"/>
      <c r="AM53" s="3">
        <v>0</v>
      </c>
      <c r="AN53" s="3"/>
      <c r="AO53" s="3">
        <v>0</v>
      </c>
      <c r="AP53" s="3"/>
      <c r="AQ53" s="3">
        <v>0</v>
      </c>
      <c r="AR53" s="3"/>
      <c r="AS53" s="3">
        <v>0</v>
      </c>
      <c r="AT53" s="3"/>
      <c r="AU53" s="3">
        <f t="shared" si="8"/>
        <v>0</v>
      </c>
      <c r="AV53" s="3"/>
      <c r="AW53" s="3">
        <f t="shared" si="9"/>
        <v>7943429</v>
      </c>
      <c r="AZ53" s="3"/>
      <c r="BA53" s="3" t="str">
        <f t="shared" si="10"/>
        <v>Stark County Area JVSD</v>
      </c>
      <c r="BB53" s="3" t="b">
        <f t="shared" si="11"/>
        <v>1</v>
      </c>
      <c r="BC53" s="3"/>
      <c r="BD53" s="3" t="str">
        <f>GenBS!A53</f>
        <v>Stark County Area JVSD</v>
      </c>
      <c r="BE53" s="16" t="b">
        <f t="shared" si="12"/>
        <v>1</v>
      </c>
      <c r="BG53" s="3" t="str">
        <f t="shared" si="13"/>
        <v>Stark</v>
      </c>
      <c r="BH53" s="16" t="b">
        <f t="shared" si="14"/>
        <v>1</v>
      </c>
      <c r="BJ53" s="16" t="b">
        <f>C53=GenBS!C53</f>
        <v>1</v>
      </c>
    </row>
    <row r="54" spans="1:62">
      <c r="A54" s="3" t="s">
        <v>290</v>
      </c>
      <c r="B54" s="16"/>
      <c r="C54" s="16" t="s">
        <v>220</v>
      </c>
      <c r="E54" s="16"/>
      <c r="G54" s="3">
        <v>7624134</v>
      </c>
      <c r="H54" s="3"/>
      <c r="I54" s="3">
        <v>3457303</v>
      </c>
      <c r="J54" s="3"/>
      <c r="K54" s="3">
        <v>70559</v>
      </c>
      <c r="L54" s="3"/>
      <c r="M54" s="3">
        <v>175096</v>
      </c>
      <c r="N54" s="3"/>
      <c r="O54" s="3">
        <v>0</v>
      </c>
      <c r="P54" s="3"/>
      <c r="Q54" s="3">
        <v>0</v>
      </c>
      <c r="R54" s="3"/>
      <c r="S54" s="3">
        <v>0</v>
      </c>
      <c r="T54" s="3"/>
      <c r="U54" s="3">
        <v>237476</v>
      </c>
      <c r="V54" s="3"/>
      <c r="W54" s="8">
        <f t="shared" si="7"/>
        <v>11564568</v>
      </c>
      <c r="X54" s="3"/>
      <c r="Y54" s="3">
        <v>0</v>
      </c>
      <c r="Z54" s="3"/>
      <c r="AA54" s="3">
        <v>0</v>
      </c>
      <c r="AB54" s="3"/>
      <c r="AC54" s="3">
        <v>0</v>
      </c>
      <c r="AD54" s="3"/>
      <c r="AE54" s="3" t="s">
        <v>290</v>
      </c>
      <c r="AF54" s="16"/>
      <c r="AG54" s="16" t="s">
        <v>220</v>
      </c>
      <c r="AH54" s="3"/>
      <c r="AI54" s="3">
        <v>0</v>
      </c>
      <c r="AJ54" s="3"/>
      <c r="AK54" s="3">
        <v>0</v>
      </c>
      <c r="AL54" s="3"/>
      <c r="AM54" s="3">
        <v>0</v>
      </c>
      <c r="AN54" s="3"/>
      <c r="AO54" s="3">
        <v>0</v>
      </c>
      <c r="AP54" s="3"/>
      <c r="AQ54" s="3">
        <v>0</v>
      </c>
      <c r="AR54" s="3"/>
      <c r="AS54" s="3">
        <v>0</v>
      </c>
      <c r="AT54" s="3"/>
      <c r="AU54" s="3">
        <f t="shared" si="8"/>
        <v>0</v>
      </c>
      <c r="AV54" s="3"/>
      <c r="AW54" s="3">
        <f t="shared" si="9"/>
        <v>11564568</v>
      </c>
      <c r="AZ54" s="3"/>
      <c r="BA54" s="3" t="str">
        <f t="shared" si="10"/>
        <v>Tolles Career and Technical Center</v>
      </c>
      <c r="BB54" s="3" t="b">
        <f t="shared" si="11"/>
        <v>1</v>
      </c>
      <c r="BC54" s="3"/>
      <c r="BD54" s="3" t="str">
        <f>GenBS!A54</f>
        <v>Tolles Career and Technical Center</v>
      </c>
      <c r="BE54" s="16" t="b">
        <f t="shared" si="12"/>
        <v>1</v>
      </c>
      <c r="BG54" s="3" t="str">
        <f t="shared" si="13"/>
        <v>Madison</v>
      </c>
      <c r="BH54" s="16" t="b">
        <f t="shared" si="14"/>
        <v>1</v>
      </c>
      <c r="BJ54" s="16" t="b">
        <f>C54=GenBS!C54</f>
        <v>1</v>
      </c>
    </row>
    <row r="55" spans="1:62">
      <c r="A55" s="3" t="s">
        <v>312</v>
      </c>
      <c r="B55" s="16"/>
      <c r="C55" s="16" t="s">
        <v>148</v>
      </c>
      <c r="E55" s="16">
        <v>51607</v>
      </c>
      <c r="G55" s="3">
        <v>3228277</v>
      </c>
      <c r="H55" s="3"/>
      <c r="I55" s="3">
        <v>4148837</v>
      </c>
      <c r="J55" s="3"/>
      <c r="K55" s="3">
        <v>86123</v>
      </c>
      <c r="L55" s="3"/>
      <c r="M55" s="3">
        <v>0</v>
      </c>
      <c r="N55" s="3"/>
      <c r="O55" s="3">
        <v>0</v>
      </c>
      <c r="P55" s="3"/>
      <c r="Q55" s="3">
        <v>0</v>
      </c>
      <c r="R55" s="3"/>
      <c r="S55" s="3">
        <v>0</v>
      </c>
      <c r="T55" s="3"/>
      <c r="U55" s="3">
        <v>27770</v>
      </c>
      <c r="V55" s="3"/>
      <c r="W55" s="8">
        <f t="shared" si="7"/>
        <v>7491007</v>
      </c>
      <c r="X55" s="3"/>
      <c r="Y55" s="3">
        <v>0</v>
      </c>
      <c r="Z55" s="3"/>
      <c r="AA55" s="3">
        <v>0</v>
      </c>
      <c r="AB55" s="3"/>
      <c r="AC55" s="3">
        <v>0</v>
      </c>
      <c r="AD55" s="3"/>
      <c r="AE55" s="3" t="s">
        <v>312</v>
      </c>
      <c r="AF55" s="16"/>
      <c r="AG55" s="16" t="s">
        <v>148</v>
      </c>
      <c r="AH55" s="3"/>
      <c r="AI55" s="3">
        <v>0</v>
      </c>
      <c r="AJ55" s="3"/>
      <c r="AK55" s="3">
        <v>0</v>
      </c>
      <c r="AL55" s="3"/>
      <c r="AM55" s="3">
        <v>0</v>
      </c>
      <c r="AN55" s="3"/>
      <c r="AO55" s="3">
        <v>0</v>
      </c>
      <c r="AP55" s="3"/>
      <c r="AQ55" s="3">
        <v>0</v>
      </c>
      <c r="AR55" s="3"/>
      <c r="AS55" s="3">
        <v>0</v>
      </c>
      <c r="AT55" s="3"/>
      <c r="AU55" s="3">
        <f t="shared" si="8"/>
        <v>0</v>
      </c>
      <c r="AV55" s="3"/>
      <c r="AW55" s="3">
        <f t="shared" si="9"/>
        <v>7491007</v>
      </c>
      <c r="AZ55" s="3"/>
      <c r="BA55" s="3" t="str">
        <f t="shared" si="10"/>
        <v>Tri County Career Center</v>
      </c>
      <c r="BB55" s="3" t="b">
        <f t="shared" si="11"/>
        <v>1</v>
      </c>
      <c r="BC55" s="3"/>
      <c r="BD55" s="3" t="str">
        <f>GenBS!A55</f>
        <v>Tri County Career Center</v>
      </c>
      <c r="BE55" s="16" t="b">
        <f t="shared" si="12"/>
        <v>1</v>
      </c>
      <c r="BG55" s="3" t="str">
        <f t="shared" si="13"/>
        <v>Athens</v>
      </c>
      <c r="BH55" s="16" t="b">
        <f t="shared" si="14"/>
        <v>1</v>
      </c>
      <c r="BJ55" s="16" t="b">
        <f>C55=GenBS!C55</f>
        <v>1</v>
      </c>
    </row>
    <row r="56" spans="1:62">
      <c r="A56" s="3" t="s">
        <v>221</v>
      </c>
      <c r="B56" s="16"/>
      <c r="C56" s="16" t="s">
        <v>222</v>
      </c>
      <c r="E56" s="16">
        <v>65268</v>
      </c>
      <c r="G56" s="3">
        <v>3677207</v>
      </c>
      <c r="H56" s="3"/>
      <c r="I56" s="3">
        <v>6922180</v>
      </c>
      <c r="J56" s="3"/>
      <c r="K56" s="3">
        <v>4439</v>
      </c>
      <c r="L56" s="3"/>
      <c r="M56" s="3">
        <v>70</v>
      </c>
      <c r="N56" s="3"/>
      <c r="O56" s="3">
        <v>0</v>
      </c>
      <c r="P56" s="3"/>
      <c r="Q56" s="3">
        <v>9490</v>
      </c>
      <c r="R56" s="3"/>
      <c r="S56" s="3">
        <v>1000</v>
      </c>
      <c r="T56" s="3"/>
      <c r="U56" s="3">
        <f>128453+22998</f>
        <v>151451</v>
      </c>
      <c r="V56" s="3"/>
      <c r="W56" s="8">
        <f t="shared" si="7"/>
        <v>10765837</v>
      </c>
      <c r="X56" s="3"/>
      <c r="Y56" s="3">
        <v>14267</v>
      </c>
      <c r="Z56" s="3"/>
      <c r="AA56" s="3">
        <v>0</v>
      </c>
      <c r="AB56" s="3"/>
      <c r="AC56" s="3">
        <v>0</v>
      </c>
      <c r="AD56" s="3"/>
      <c r="AE56" s="3" t="s">
        <v>221</v>
      </c>
      <c r="AF56" s="16"/>
      <c r="AG56" s="16" t="s">
        <v>222</v>
      </c>
      <c r="AH56" s="3"/>
      <c r="AI56" s="3">
        <v>0</v>
      </c>
      <c r="AJ56" s="3"/>
      <c r="AK56" s="3">
        <v>25000</v>
      </c>
      <c r="AL56" s="3"/>
      <c r="AM56" s="3">
        <v>0</v>
      </c>
      <c r="AN56" s="3"/>
      <c r="AO56" s="3">
        <v>0</v>
      </c>
      <c r="AP56" s="3"/>
      <c r="AQ56" s="3">
        <v>0</v>
      </c>
      <c r="AR56" s="3"/>
      <c r="AS56" s="3">
        <v>0</v>
      </c>
      <c r="AT56" s="3"/>
      <c r="AU56" s="3">
        <f t="shared" si="8"/>
        <v>39267</v>
      </c>
      <c r="AV56" s="3"/>
      <c r="AW56" s="3">
        <f t="shared" si="9"/>
        <v>10805104</v>
      </c>
      <c r="AZ56" s="3"/>
      <c r="BA56" s="3" t="str">
        <f t="shared" si="10"/>
        <v>Tri-Rivers JVSD</v>
      </c>
      <c r="BB56" s="3" t="b">
        <f t="shared" si="11"/>
        <v>1</v>
      </c>
      <c r="BC56" s="3"/>
      <c r="BD56" s="3" t="str">
        <f>GenBS!A56</f>
        <v>Tri-Rivers JVSD</v>
      </c>
      <c r="BE56" s="16" t="b">
        <f t="shared" si="12"/>
        <v>1</v>
      </c>
      <c r="BG56" s="3" t="str">
        <f t="shared" si="13"/>
        <v>Marion</v>
      </c>
      <c r="BH56" s="16" t="b">
        <f t="shared" si="14"/>
        <v>1</v>
      </c>
      <c r="BJ56" s="16" t="b">
        <f>C56=GenBS!C56</f>
        <v>1</v>
      </c>
    </row>
    <row r="57" spans="1:62">
      <c r="A57" s="3" t="s">
        <v>313</v>
      </c>
      <c r="B57" s="16"/>
      <c r="C57" s="16" t="s">
        <v>201</v>
      </c>
      <c r="E57" s="16">
        <v>51631</v>
      </c>
      <c r="G57" s="3">
        <v>4801158</v>
      </c>
      <c r="H57" s="3"/>
      <c r="I57" s="3">
        <f>4029+7740774+46140</f>
        <v>7790943</v>
      </c>
      <c r="J57" s="3"/>
      <c r="K57" s="3">
        <v>146588</v>
      </c>
      <c r="L57" s="3"/>
      <c r="M57" s="3">
        <v>81623</v>
      </c>
      <c r="N57" s="3"/>
      <c r="O57" s="3">
        <v>23980</v>
      </c>
      <c r="P57" s="3"/>
      <c r="Q57" s="3">
        <v>0</v>
      </c>
      <c r="R57" s="3"/>
      <c r="S57" s="3">
        <v>530</v>
      </c>
      <c r="T57" s="3"/>
      <c r="U57" s="3">
        <f>18929+118640+188135</f>
        <v>325704</v>
      </c>
      <c r="V57" s="3"/>
      <c r="W57" s="8">
        <f t="shared" si="7"/>
        <v>13170526</v>
      </c>
      <c r="X57" s="3"/>
      <c r="Y57" s="3">
        <v>0</v>
      </c>
      <c r="Z57" s="3"/>
      <c r="AA57" s="3">
        <v>0</v>
      </c>
      <c r="AB57" s="3"/>
      <c r="AC57" s="3">
        <v>0</v>
      </c>
      <c r="AD57" s="3"/>
      <c r="AE57" s="3" t="s">
        <v>313</v>
      </c>
      <c r="AF57" s="16"/>
      <c r="AG57" s="16" t="s">
        <v>201</v>
      </c>
      <c r="AH57" s="3"/>
      <c r="AI57" s="3">
        <v>0</v>
      </c>
      <c r="AJ57" s="3"/>
      <c r="AK57" s="3">
        <v>0</v>
      </c>
      <c r="AL57" s="3"/>
      <c r="AM57" s="3">
        <v>0</v>
      </c>
      <c r="AN57" s="3"/>
      <c r="AO57" s="3">
        <v>0</v>
      </c>
      <c r="AP57" s="3"/>
      <c r="AQ57" s="3">
        <v>0</v>
      </c>
      <c r="AR57" s="3"/>
      <c r="AS57" s="3">
        <v>0</v>
      </c>
      <c r="AT57" s="3"/>
      <c r="AU57" s="3">
        <f t="shared" si="8"/>
        <v>0</v>
      </c>
      <c r="AV57" s="3"/>
      <c r="AW57" s="3">
        <f t="shared" si="9"/>
        <v>13170526</v>
      </c>
      <c r="AZ57" s="3"/>
      <c r="BA57" s="3" t="str">
        <f t="shared" si="10"/>
        <v>Trumbull Career &amp; Tech Center</v>
      </c>
      <c r="BB57" s="3" t="b">
        <f t="shared" si="11"/>
        <v>1</v>
      </c>
      <c r="BC57" s="3"/>
      <c r="BD57" s="3" t="str">
        <f>GenBS!A57</f>
        <v>Trumbull Career &amp; Tech Center</v>
      </c>
      <c r="BE57" s="16" t="b">
        <f t="shared" si="12"/>
        <v>1</v>
      </c>
      <c r="BG57" s="3" t="str">
        <f t="shared" si="13"/>
        <v>Trumbull</v>
      </c>
      <c r="BH57" s="16" t="b">
        <f t="shared" si="14"/>
        <v>1</v>
      </c>
      <c r="BJ57" s="16" t="b">
        <f>C57=GenBS!C57</f>
        <v>1</v>
      </c>
    </row>
    <row r="58" spans="1:62">
      <c r="A58" s="3" t="s">
        <v>212</v>
      </c>
      <c r="B58" s="16"/>
      <c r="C58" s="16" t="s">
        <v>157</v>
      </c>
      <c r="E58" s="16">
        <v>62802</v>
      </c>
      <c r="G58" s="3">
        <v>3703818</v>
      </c>
      <c r="H58" s="3"/>
      <c r="I58" s="3">
        <v>3953674</v>
      </c>
      <c r="J58" s="3"/>
      <c r="K58" s="3">
        <v>210571</v>
      </c>
      <c r="L58" s="3"/>
      <c r="M58" s="3">
        <v>127224</v>
      </c>
      <c r="N58" s="3"/>
      <c r="O58" s="3">
        <v>0</v>
      </c>
      <c r="P58" s="3"/>
      <c r="Q58" s="3">
        <v>0</v>
      </c>
      <c r="R58" s="3"/>
      <c r="S58" s="3">
        <v>0</v>
      </c>
      <c r="T58" s="3"/>
      <c r="U58" s="3">
        <f>24608+123828</f>
        <v>148436</v>
      </c>
      <c r="V58" s="3"/>
      <c r="W58" s="8">
        <f t="shared" si="7"/>
        <v>8143723</v>
      </c>
      <c r="X58" s="3"/>
      <c r="Y58" s="3">
        <v>0</v>
      </c>
      <c r="Z58" s="3"/>
      <c r="AA58" s="3">
        <v>0</v>
      </c>
      <c r="AB58" s="3"/>
      <c r="AC58" s="3">
        <v>0</v>
      </c>
      <c r="AD58" s="3"/>
      <c r="AE58" s="3" t="s">
        <v>212</v>
      </c>
      <c r="AF58" s="16"/>
      <c r="AG58" s="16" t="s">
        <v>157</v>
      </c>
      <c r="AH58" s="3"/>
      <c r="AI58" s="3">
        <v>0</v>
      </c>
      <c r="AJ58" s="3"/>
      <c r="AK58" s="3">
        <v>0</v>
      </c>
      <c r="AL58" s="3"/>
      <c r="AM58" s="3">
        <v>875</v>
      </c>
      <c r="AN58" s="3"/>
      <c r="AO58" s="3">
        <v>0</v>
      </c>
      <c r="AP58" s="3"/>
      <c r="AQ58" s="3">
        <v>0</v>
      </c>
      <c r="AR58" s="3"/>
      <c r="AS58" s="3">
        <v>0</v>
      </c>
      <c r="AT58" s="3"/>
      <c r="AU58" s="3">
        <f t="shared" si="8"/>
        <v>875</v>
      </c>
      <c r="AV58" s="3"/>
      <c r="AW58" s="3">
        <f t="shared" si="9"/>
        <v>8144598</v>
      </c>
      <c r="AZ58" s="3"/>
      <c r="BA58" s="3" t="str">
        <f t="shared" si="10"/>
        <v>U S Grant JVSD</v>
      </c>
      <c r="BB58" s="3" t="b">
        <f t="shared" si="11"/>
        <v>1</v>
      </c>
      <c r="BC58" s="3"/>
      <c r="BD58" s="3" t="str">
        <f>GenBS!A58</f>
        <v>U S Grant JVSD</v>
      </c>
      <c r="BE58" s="16" t="b">
        <f t="shared" si="12"/>
        <v>1</v>
      </c>
      <c r="BG58" s="3" t="str">
        <f t="shared" si="13"/>
        <v>Clermont</v>
      </c>
      <c r="BH58" s="16" t="b">
        <f t="shared" si="14"/>
        <v>1</v>
      </c>
      <c r="BJ58" s="16" t="b">
        <f>C58=GenBS!C58</f>
        <v>1</v>
      </c>
    </row>
    <row r="59" spans="1:62">
      <c r="A59" s="3" t="s">
        <v>224</v>
      </c>
      <c r="B59" s="16"/>
      <c r="C59" s="16" t="s">
        <v>183</v>
      </c>
      <c r="E59" s="16">
        <v>62125</v>
      </c>
      <c r="G59" s="3">
        <v>5106340</v>
      </c>
      <c r="H59" s="3"/>
      <c r="I59" s="3">
        <v>11467335</v>
      </c>
      <c r="J59" s="3"/>
      <c r="K59" s="3">
        <v>41988</v>
      </c>
      <c r="L59" s="3"/>
      <c r="M59" s="3">
        <v>158164</v>
      </c>
      <c r="N59" s="3"/>
      <c r="O59" s="3">
        <v>0</v>
      </c>
      <c r="P59" s="3"/>
      <c r="Q59" s="3">
        <v>0</v>
      </c>
      <c r="R59" s="3"/>
      <c r="S59" s="3">
        <v>25024</v>
      </c>
      <c r="T59" s="3"/>
      <c r="U59" s="3">
        <f>50482+2334+120096</f>
        <v>172912</v>
      </c>
      <c r="V59" s="3"/>
      <c r="W59" s="8">
        <f t="shared" si="7"/>
        <v>16971763</v>
      </c>
      <c r="X59" s="3"/>
      <c r="Y59" s="3">
        <v>0</v>
      </c>
      <c r="Z59" s="3"/>
      <c r="AA59" s="3">
        <v>0</v>
      </c>
      <c r="AB59" s="3"/>
      <c r="AC59" s="3">
        <v>0</v>
      </c>
      <c r="AD59" s="3"/>
      <c r="AE59" s="3" t="s">
        <v>224</v>
      </c>
      <c r="AF59" s="16"/>
      <c r="AG59" s="16" t="s">
        <v>183</v>
      </c>
      <c r="AH59" s="3"/>
      <c r="AI59" s="3">
        <v>0</v>
      </c>
      <c r="AJ59" s="3"/>
      <c r="AK59" s="3">
        <v>0</v>
      </c>
      <c r="AL59" s="3"/>
      <c r="AM59" s="3">
        <v>0</v>
      </c>
      <c r="AN59" s="3"/>
      <c r="AO59" s="3">
        <v>0</v>
      </c>
      <c r="AP59" s="3"/>
      <c r="AQ59" s="3">
        <v>0</v>
      </c>
      <c r="AR59" s="3"/>
      <c r="AS59" s="3">
        <v>0</v>
      </c>
      <c r="AT59" s="3"/>
      <c r="AU59" s="3">
        <f t="shared" si="8"/>
        <v>0</v>
      </c>
      <c r="AV59" s="3"/>
      <c r="AW59" s="3">
        <f t="shared" si="9"/>
        <v>16971763</v>
      </c>
      <c r="AZ59" s="3"/>
      <c r="BA59" s="3" t="str">
        <f t="shared" si="10"/>
        <v>Upper Valley JVSD</v>
      </c>
      <c r="BB59" s="3" t="b">
        <f t="shared" si="11"/>
        <v>1</v>
      </c>
      <c r="BC59" s="3"/>
      <c r="BD59" s="3" t="str">
        <f>GenBS!A59</f>
        <v>Upper Valley JVSD</v>
      </c>
      <c r="BE59" s="16" t="b">
        <f t="shared" si="12"/>
        <v>1</v>
      </c>
      <c r="BG59" s="3" t="str">
        <f t="shared" si="13"/>
        <v>Miami</v>
      </c>
      <c r="BH59" s="16" t="b">
        <f t="shared" si="14"/>
        <v>1</v>
      </c>
      <c r="BJ59" s="16" t="b">
        <f>C59=GenBS!C59</f>
        <v>1</v>
      </c>
    </row>
    <row r="60" spans="1:62">
      <c r="A60" s="3" t="s">
        <v>261</v>
      </c>
      <c r="B60" s="16"/>
      <c r="C60" s="16" t="s">
        <v>195</v>
      </c>
      <c r="E60" s="16">
        <v>51458</v>
      </c>
      <c r="G60" s="3">
        <v>4250937</v>
      </c>
      <c r="H60" s="3"/>
      <c r="I60" s="3">
        <v>9509983</v>
      </c>
      <c r="J60" s="3"/>
      <c r="K60" s="3">
        <v>226800</v>
      </c>
      <c r="L60" s="3"/>
      <c r="M60" s="3">
        <v>106366</v>
      </c>
      <c r="N60" s="3"/>
      <c r="O60" s="3">
        <v>0</v>
      </c>
      <c r="P60" s="3"/>
      <c r="Q60" s="3">
        <v>0</v>
      </c>
      <c r="R60" s="3"/>
      <c r="S60" s="3">
        <v>16335</v>
      </c>
      <c r="T60" s="3"/>
      <c r="U60" s="3">
        <f>107652+386680</f>
        <v>494332</v>
      </c>
      <c r="V60" s="3"/>
      <c r="W60" s="8">
        <f t="shared" si="7"/>
        <v>14604753</v>
      </c>
      <c r="X60" s="3"/>
      <c r="Y60" s="3">
        <v>0</v>
      </c>
      <c r="Z60" s="3"/>
      <c r="AA60" s="3">
        <v>0</v>
      </c>
      <c r="AB60" s="3"/>
      <c r="AC60" s="3">
        <v>0</v>
      </c>
      <c r="AD60" s="3"/>
      <c r="AE60" s="3" t="s">
        <v>261</v>
      </c>
      <c r="AF60" s="16"/>
      <c r="AG60" s="16" t="s">
        <v>195</v>
      </c>
      <c r="AH60" s="3"/>
      <c r="AI60" s="3">
        <v>0</v>
      </c>
      <c r="AJ60" s="3"/>
      <c r="AK60" s="3">
        <v>0</v>
      </c>
      <c r="AL60" s="3"/>
      <c r="AM60" s="3">
        <v>0</v>
      </c>
      <c r="AN60" s="3"/>
      <c r="AO60" s="3">
        <v>0</v>
      </c>
      <c r="AP60" s="3"/>
      <c r="AQ60" s="3">
        <v>0</v>
      </c>
      <c r="AR60" s="3"/>
      <c r="AS60" s="3">
        <v>0</v>
      </c>
      <c r="AT60" s="3"/>
      <c r="AU60" s="3">
        <f t="shared" si="8"/>
        <v>0</v>
      </c>
      <c r="AV60" s="3"/>
      <c r="AW60" s="3">
        <f t="shared" si="9"/>
        <v>14604753</v>
      </c>
      <c r="AZ60" s="32"/>
      <c r="BA60" s="3" t="str">
        <f t="shared" si="10"/>
        <v>Vanguard-Sentinel Career Center</v>
      </c>
      <c r="BB60" s="3" t="b">
        <f t="shared" si="11"/>
        <v>1</v>
      </c>
      <c r="BC60" s="3"/>
      <c r="BD60" s="3" t="str">
        <f>GenBS!A60</f>
        <v>Vanguard-Sentinel Career Center</v>
      </c>
      <c r="BE60" s="16" t="b">
        <f t="shared" si="12"/>
        <v>1</v>
      </c>
      <c r="BG60" s="3" t="str">
        <f t="shared" si="13"/>
        <v>Sandusky</v>
      </c>
      <c r="BH60" s="16" t="b">
        <f t="shared" si="14"/>
        <v>1</v>
      </c>
      <c r="BJ60" s="16" t="b">
        <f>C60=GenBS!C60</f>
        <v>1</v>
      </c>
    </row>
    <row r="61" spans="1:62">
      <c r="A61" s="3" t="s">
        <v>262</v>
      </c>
      <c r="B61" s="16"/>
      <c r="C61" s="16" t="s">
        <v>204</v>
      </c>
      <c r="E61" s="16">
        <v>51672</v>
      </c>
      <c r="G61" s="3">
        <v>2478426</v>
      </c>
      <c r="H61" s="3"/>
      <c r="I61" s="3">
        <f>31834+4339960</f>
        <v>4371794</v>
      </c>
      <c r="J61" s="3"/>
      <c r="K61" s="3">
        <v>94034</v>
      </c>
      <c r="L61" s="3"/>
      <c r="M61" s="3">
        <f>823179+21313</f>
        <v>844492</v>
      </c>
      <c r="N61" s="3"/>
      <c r="O61" s="3">
        <v>2352</v>
      </c>
      <c r="P61" s="3"/>
      <c r="Q61" s="3">
        <v>0</v>
      </c>
      <c r="R61" s="3"/>
      <c r="S61" s="3">
        <v>37000</v>
      </c>
      <c r="T61" s="3"/>
      <c r="U61" s="3">
        <f>21317+86661+1399</f>
        <v>109377</v>
      </c>
      <c r="V61" s="3"/>
      <c r="W61" s="8">
        <f t="shared" si="7"/>
        <v>7937475</v>
      </c>
      <c r="X61" s="3"/>
      <c r="Y61" s="3">
        <v>0</v>
      </c>
      <c r="Z61" s="3"/>
      <c r="AA61" s="3">
        <v>0</v>
      </c>
      <c r="AB61" s="3"/>
      <c r="AC61" s="3">
        <v>0</v>
      </c>
      <c r="AD61" s="3"/>
      <c r="AE61" s="3" t="s">
        <v>262</v>
      </c>
      <c r="AF61" s="16"/>
      <c r="AG61" s="16" t="s">
        <v>204</v>
      </c>
      <c r="AH61" s="3"/>
      <c r="AI61" s="3">
        <v>0</v>
      </c>
      <c r="AJ61" s="3"/>
      <c r="AK61" s="3">
        <v>0</v>
      </c>
      <c r="AL61" s="3"/>
      <c r="AM61" s="3">
        <v>0</v>
      </c>
      <c r="AN61" s="3"/>
      <c r="AO61" s="3">
        <v>0</v>
      </c>
      <c r="AP61" s="3"/>
      <c r="AQ61" s="3">
        <v>0</v>
      </c>
      <c r="AR61" s="3"/>
      <c r="AS61" s="3">
        <v>0</v>
      </c>
      <c r="AT61" s="3"/>
      <c r="AU61" s="3">
        <f t="shared" si="8"/>
        <v>0</v>
      </c>
      <c r="AV61" s="3"/>
      <c r="AW61" s="3">
        <f t="shared" si="9"/>
        <v>7937475</v>
      </c>
      <c r="AZ61" s="3"/>
      <c r="BA61" s="3" t="str">
        <f t="shared" si="10"/>
        <v>Vantage Career Center</v>
      </c>
      <c r="BB61" s="3" t="b">
        <f t="shared" si="11"/>
        <v>1</v>
      </c>
      <c r="BC61" s="3"/>
      <c r="BD61" s="3" t="str">
        <f>GenBS!A61</f>
        <v>Vantage Career Center</v>
      </c>
      <c r="BE61" s="16" t="b">
        <f t="shared" si="12"/>
        <v>1</v>
      </c>
      <c r="BG61" s="3" t="str">
        <f t="shared" si="13"/>
        <v>Van Wert</v>
      </c>
      <c r="BH61" s="16" t="b">
        <f t="shared" si="14"/>
        <v>1</v>
      </c>
      <c r="BJ61" s="16" t="b">
        <f>C61=GenBS!C61</f>
        <v>1</v>
      </c>
    </row>
    <row r="62" spans="1:62">
      <c r="A62" s="3" t="s">
        <v>228</v>
      </c>
      <c r="B62" s="16"/>
      <c r="C62" s="16" t="s">
        <v>205</v>
      </c>
      <c r="E62" s="16">
        <v>51474</v>
      </c>
      <c r="G62" s="3">
        <v>8054760</v>
      </c>
      <c r="H62" s="3"/>
      <c r="I62" s="3">
        <v>6393291</v>
      </c>
      <c r="J62" s="3"/>
      <c r="K62" s="3">
        <v>104413</v>
      </c>
      <c r="L62" s="3"/>
      <c r="M62" s="3">
        <v>403332</v>
      </c>
      <c r="N62" s="3"/>
      <c r="O62" s="3">
        <v>0</v>
      </c>
      <c r="P62" s="3"/>
      <c r="Q62" s="3">
        <v>60817</v>
      </c>
      <c r="R62" s="3"/>
      <c r="S62" s="3">
        <v>22362</v>
      </c>
      <c r="T62" s="3"/>
      <c r="U62" s="3">
        <f>12857+42700</f>
        <v>55557</v>
      </c>
      <c r="V62" s="3"/>
      <c r="W62" s="8">
        <f t="shared" si="7"/>
        <v>15094532</v>
      </c>
      <c r="X62" s="3"/>
      <c r="Y62" s="3">
        <v>0</v>
      </c>
      <c r="Z62" s="3"/>
      <c r="AA62" s="3">
        <v>0</v>
      </c>
      <c r="AB62" s="3"/>
      <c r="AC62" s="3">
        <v>881000</v>
      </c>
      <c r="AD62" s="3"/>
      <c r="AE62" s="3" t="s">
        <v>228</v>
      </c>
      <c r="AF62" s="16"/>
      <c r="AG62" s="16" t="s">
        <v>205</v>
      </c>
      <c r="AH62" s="3"/>
      <c r="AI62" s="3">
        <v>0</v>
      </c>
      <c r="AJ62" s="3"/>
      <c r="AK62" s="3">
        <v>86486</v>
      </c>
      <c r="AL62" s="3"/>
      <c r="AM62" s="3">
        <v>25923</v>
      </c>
      <c r="AN62" s="3"/>
      <c r="AO62" s="3">
        <v>0</v>
      </c>
      <c r="AP62" s="3"/>
      <c r="AQ62" s="3">
        <v>0</v>
      </c>
      <c r="AR62" s="3"/>
      <c r="AS62" s="3">
        <v>0</v>
      </c>
      <c r="AT62" s="3"/>
      <c r="AU62" s="3">
        <f t="shared" si="8"/>
        <v>993409</v>
      </c>
      <c r="AV62" s="3"/>
      <c r="AW62" s="3">
        <f t="shared" si="9"/>
        <v>16087941</v>
      </c>
      <c r="AZ62" s="3"/>
      <c r="BA62" s="3" t="str">
        <f t="shared" si="10"/>
        <v>Warren County JVSD</v>
      </c>
      <c r="BB62" s="3" t="b">
        <f t="shared" si="11"/>
        <v>1</v>
      </c>
      <c r="BC62" s="3"/>
      <c r="BD62" s="3" t="str">
        <f>GenBS!A62</f>
        <v>Warren County JVSD</v>
      </c>
      <c r="BE62" s="16" t="b">
        <f t="shared" si="12"/>
        <v>1</v>
      </c>
      <c r="BG62" s="3" t="str">
        <f t="shared" si="13"/>
        <v>Warren</v>
      </c>
      <c r="BH62" s="16" t="b">
        <f t="shared" si="14"/>
        <v>1</v>
      </c>
      <c r="BJ62" s="16" t="b">
        <f>C62=GenBS!C62</f>
        <v>1</v>
      </c>
    </row>
    <row r="63" spans="1:62">
      <c r="A63" s="3" t="s">
        <v>276</v>
      </c>
      <c r="B63" s="16"/>
      <c r="C63" s="16" t="s">
        <v>206</v>
      </c>
      <c r="E63" s="16">
        <v>51698</v>
      </c>
      <c r="G63" s="3">
        <v>1792616</v>
      </c>
      <c r="H63" s="3"/>
      <c r="I63" s="3">
        <v>3662032</v>
      </c>
      <c r="J63" s="3"/>
      <c r="K63" s="3">
        <v>146634</v>
      </c>
      <c r="L63" s="3"/>
      <c r="M63" s="3">
        <v>23251</v>
      </c>
      <c r="N63" s="3"/>
      <c r="O63" s="3">
        <v>0</v>
      </c>
      <c r="P63" s="3"/>
      <c r="Q63" s="3">
        <v>16868</v>
      </c>
      <c r="R63" s="3"/>
      <c r="S63" s="3">
        <v>0</v>
      </c>
      <c r="T63" s="3"/>
      <c r="U63" s="3">
        <f>55197+46835</f>
        <v>102032</v>
      </c>
      <c r="V63" s="3"/>
      <c r="W63" s="8">
        <f t="shared" si="7"/>
        <v>5743433</v>
      </c>
      <c r="X63" s="3"/>
      <c r="Y63" s="3">
        <v>0</v>
      </c>
      <c r="Z63" s="3"/>
      <c r="AA63" s="3">
        <v>0</v>
      </c>
      <c r="AB63" s="3"/>
      <c r="AC63" s="3">
        <v>0</v>
      </c>
      <c r="AD63" s="3"/>
      <c r="AE63" s="3" t="s">
        <v>276</v>
      </c>
      <c r="AF63" s="16"/>
      <c r="AG63" s="16" t="s">
        <v>206</v>
      </c>
      <c r="AH63" s="3"/>
      <c r="AI63" s="3">
        <v>0</v>
      </c>
      <c r="AJ63" s="3"/>
      <c r="AK63" s="3">
        <v>0</v>
      </c>
      <c r="AL63" s="3"/>
      <c r="AM63" s="3">
        <v>20</v>
      </c>
      <c r="AN63" s="3"/>
      <c r="AO63" s="3">
        <v>0</v>
      </c>
      <c r="AP63" s="3"/>
      <c r="AQ63" s="3">
        <v>0</v>
      </c>
      <c r="AR63" s="3"/>
      <c r="AS63" s="3">
        <v>0</v>
      </c>
      <c r="AT63" s="3"/>
      <c r="AU63" s="3">
        <f t="shared" si="8"/>
        <v>20</v>
      </c>
      <c r="AV63" s="3"/>
      <c r="AW63" s="3">
        <f t="shared" si="9"/>
        <v>5743453</v>
      </c>
      <c r="AZ63" s="3"/>
      <c r="BA63" s="3" t="str">
        <f t="shared" si="10"/>
        <v>Washington County Career Center</v>
      </c>
      <c r="BB63" s="3" t="b">
        <f t="shared" si="11"/>
        <v>1</v>
      </c>
      <c r="BC63" s="3"/>
      <c r="BD63" s="3" t="str">
        <f>GenBS!A63</f>
        <v>Washington County Career Center</v>
      </c>
      <c r="BE63" s="16" t="b">
        <f t="shared" si="12"/>
        <v>1</v>
      </c>
      <c r="BG63" s="3" t="str">
        <f t="shared" si="13"/>
        <v>Washington</v>
      </c>
      <c r="BH63" s="16" t="b">
        <f t="shared" si="14"/>
        <v>1</v>
      </c>
      <c r="BJ63" s="16" t="b">
        <f>C63=GenBS!C63</f>
        <v>1</v>
      </c>
    </row>
    <row r="64" spans="1:62">
      <c r="A64" s="3" t="s">
        <v>263</v>
      </c>
      <c r="B64" s="16"/>
      <c r="C64" s="16" t="s">
        <v>208</v>
      </c>
      <c r="E64" s="16">
        <v>51714</v>
      </c>
      <c r="G64" s="3">
        <v>4175418</v>
      </c>
      <c r="H64" s="3"/>
      <c r="I64" s="3">
        <v>7374578</v>
      </c>
      <c r="J64" s="3"/>
      <c r="K64" s="3">
        <v>20365</v>
      </c>
      <c r="L64" s="3"/>
      <c r="M64" s="3">
        <v>112033</v>
      </c>
      <c r="N64" s="3"/>
      <c r="O64" s="3">
        <v>0</v>
      </c>
      <c r="P64" s="3"/>
      <c r="Q64" s="3">
        <v>0</v>
      </c>
      <c r="R64" s="3"/>
      <c r="S64" s="3">
        <v>134182</v>
      </c>
      <c r="T64" s="3"/>
      <c r="U64" s="3">
        <f>100901+2165</f>
        <v>103066</v>
      </c>
      <c r="V64" s="3"/>
      <c r="W64" s="8">
        <f t="shared" si="7"/>
        <v>11919642</v>
      </c>
      <c r="X64" s="3"/>
      <c r="Y64" s="3">
        <v>0</v>
      </c>
      <c r="Z64" s="3"/>
      <c r="AA64" s="3">
        <v>0</v>
      </c>
      <c r="AB64" s="3"/>
      <c r="AC64" s="3">
        <v>0</v>
      </c>
      <c r="AD64" s="3"/>
      <c r="AE64" s="3" t="s">
        <v>263</v>
      </c>
      <c r="AF64" s="16"/>
      <c r="AG64" s="16" t="s">
        <v>208</v>
      </c>
      <c r="AH64" s="3"/>
      <c r="AI64" s="3">
        <v>0</v>
      </c>
      <c r="AJ64" s="3"/>
      <c r="AK64" s="3">
        <v>0</v>
      </c>
      <c r="AL64" s="3"/>
      <c r="AM64" s="3">
        <v>0</v>
      </c>
      <c r="AN64" s="3"/>
      <c r="AO64" s="3">
        <v>0</v>
      </c>
      <c r="AP64" s="3"/>
      <c r="AQ64" s="3">
        <v>0</v>
      </c>
      <c r="AR64" s="3"/>
      <c r="AS64" s="3">
        <v>0</v>
      </c>
      <c r="AT64" s="3"/>
      <c r="AU64" s="3">
        <f t="shared" si="8"/>
        <v>0</v>
      </c>
      <c r="AV64" s="3"/>
      <c r="AW64" s="3">
        <f t="shared" si="9"/>
        <v>11919642</v>
      </c>
      <c r="AZ64" s="32"/>
      <c r="BA64" s="3" t="str">
        <f t="shared" si="10"/>
        <v>Wayne County JVSD</v>
      </c>
      <c r="BB64" s="3" t="b">
        <f t="shared" si="11"/>
        <v>1</v>
      </c>
      <c r="BC64" s="3"/>
      <c r="BD64" s="3" t="str">
        <f>GenBS!A64</f>
        <v>Wayne County JVSD</v>
      </c>
      <c r="BE64" s="16" t="b">
        <f t="shared" si="12"/>
        <v>1</v>
      </c>
      <c r="BG64" s="3" t="str">
        <f t="shared" si="13"/>
        <v>Wayne</v>
      </c>
      <c r="BH64" s="16" t="b">
        <f t="shared" si="14"/>
        <v>1</v>
      </c>
      <c r="BJ64" s="16" t="b">
        <f>C64=GenBS!C64</f>
        <v>1</v>
      </c>
    </row>
    <row r="65" spans="1:62">
      <c r="A65" s="103"/>
      <c r="B65" s="103"/>
      <c r="C65" s="103"/>
      <c r="D65" s="103"/>
      <c r="E65" s="103"/>
      <c r="F65" s="103"/>
      <c r="G65" s="103"/>
      <c r="H65" s="103"/>
      <c r="AA65" s="39" t="s">
        <v>266</v>
      </c>
      <c r="AB65" s="39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"/>
      <c r="AV65" s="36"/>
      <c r="BA65" s="3"/>
      <c r="BB65" s="3"/>
      <c r="BC65" s="3"/>
      <c r="BD65" s="3"/>
      <c r="BG65" s="3"/>
    </row>
    <row r="66" spans="1:62">
      <c r="A66" s="3"/>
      <c r="B66" s="16"/>
      <c r="C66" s="3"/>
      <c r="E66" s="16"/>
      <c r="AC66" s="17" t="s">
        <v>266</v>
      </c>
      <c r="AE66" s="3"/>
      <c r="AF66" s="16"/>
      <c r="AG66" s="3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"/>
      <c r="AV66" s="36"/>
      <c r="AW66" s="17" t="s">
        <v>266</v>
      </c>
      <c r="BA66" s="3"/>
      <c r="BB66" s="3"/>
      <c r="BC66" s="3"/>
      <c r="BD66" s="3"/>
      <c r="BG66" s="3"/>
    </row>
    <row r="67" spans="1:62">
      <c r="A67" s="40" t="s">
        <v>265</v>
      </c>
      <c r="B67" s="16"/>
      <c r="C67" s="16"/>
      <c r="E67" s="16"/>
      <c r="AE67" s="40" t="s">
        <v>265</v>
      </c>
      <c r="AF67" s="16"/>
      <c r="AG67" s="1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"/>
      <c r="AV67" s="36"/>
      <c r="AW67" s="36"/>
      <c r="BA67" s="3"/>
      <c r="BB67" s="3"/>
      <c r="BC67" s="3"/>
      <c r="BD67" s="3"/>
      <c r="BG67" s="3"/>
    </row>
    <row r="68" spans="1:62">
      <c r="A68" s="40"/>
      <c r="B68" s="16"/>
      <c r="C68" s="16"/>
      <c r="E68" s="16"/>
      <c r="AE68" s="40"/>
      <c r="AF68" s="16"/>
      <c r="AG68" s="1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"/>
      <c r="AV68" s="36"/>
      <c r="AW68" s="36"/>
      <c r="BA68" s="3"/>
      <c r="BB68" s="3"/>
      <c r="BC68" s="3"/>
      <c r="BD68" s="3"/>
      <c r="BG68" s="3"/>
    </row>
    <row r="69" spans="1:62" s="72" customFormat="1" hidden="1">
      <c r="A69" s="65" t="s">
        <v>414</v>
      </c>
      <c r="B69" s="65"/>
      <c r="C69" s="65" t="s">
        <v>272</v>
      </c>
      <c r="E69" s="66">
        <v>45849</v>
      </c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71">
        <f>SUM(G69:V69)</f>
        <v>0</v>
      </c>
      <c r="X69" s="68"/>
      <c r="Y69" s="68"/>
      <c r="Z69" s="68"/>
      <c r="AA69" s="68"/>
      <c r="AB69" s="68"/>
      <c r="AC69" s="68"/>
      <c r="AD69" s="68"/>
      <c r="AE69" s="65" t="s">
        <v>414</v>
      </c>
      <c r="AF69" s="65"/>
      <c r="AG69" s="65" t="s">
        <v>272</v>
      </c>
      <c r="AH69" s="68"/>
      <c r="AI69" s="68"/>
      <c r="AJ69" s="68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>
        <f t="shared" ref="AU69:AU107" si="15">SUM(Y69:AS69)</f>
        <v>0</v>
      </c>
      <c r="AV69" s="65"/>
      <c r="AW69" s="65">
        <f t="shared" ref="AW69:AW100" si="16">+AU69+W69</f>
        <v>0</v>
      </c>
      <c r="AZ69" s="66" t="s">
        <v>413</v>
      </c>
      <c r="BA69" s="65" t="str">
        <f t="shared" ref="BA69:BA100" si="17">A69</f>
        <v>Allen County Educ Srv Ctr (CASH)</v>
      </c>
      <c r="BB69" s="65" t="b">
        <f t="shared" ref="BB69:BB100" si="18">A69=AE69</f>
        <v>1</v>
      </c>
      <c r="BC69" s="65"/>
      <c r="BD69" s="65" t="str">
        <f>GenBS!A69</f>
        <v>Allen County Educ Srv Ctr (CASH)</v>
      </c>
      <c r="BE69" s="66" t="b">
        <f t="shared" ref="BE69:BE100" si="19">BA69=BD69</f>
        <v>1</v>
      </c>
      <c r="BG69" s="65" t="str">
        <f t="shared" ref="BG69:BG100" si="20">C69</f>
        <v>Allen</v>
      </c>
      <c r="BH69" s="66" t="b">
        <f t="shared" ref="BH69:BH100" si="21">C69=AG69</f>
        <v>1</v>
      </c>
      <c r="BJ69" s="66" t="b">
        <f>C69=GenBS!C69</f>
        <v>1</v>
      </c>
    </row>
    <row r="70" spans="1:62" s="72" customFormat="1" hidden="1">
      <c r="A70" s="65" t="s">
        <v>415</v>
      </c>
      <c r="B70" s="65"/>
      <c r="C70" s="65" t="s">
        <v>147</v>
      </c>
      <c r="E70" s="66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70">
        <f>SUM(G70:V70)</f>
        <v>0</v>
      </c>
      <c r="X70" s="65"/>
      <c r="Y70" s="65"/>
      <c r="Z70" s="65"/>
      <c r="AA70" s="65"/>
      <c r="AB70" s="65"/>
      <c r="AC70" s="65"/>
      <c r="AD70" s="65"/>
      <c r="AE70" s="65" t="s">
        <v>415</v>
      </c>
      <c r="AF70" s="65"/>
      <c r="AG70" s="65" t="s">
        <v>147</v>
      </c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>
        <f t="shared" si="15"/>
        <v>0</v>
      </c>
      <c r="AV70" s="65"/>
      <c r="AW70" s="65">
        <f t="shared" si="16"/>
        <v>0</v>
      </c>
      <c r="AZ70" s="66" t="s">
        <v>377</v>
      </c>
      <c r="BA70" s="65" t="str">
        <f t="shared" si="17"/>
        <v>Ashtabula County Educ Srv Ctr (CASH)</v>
      </c>
      <c r="BB70" s="65" t="b">
        <f t="shared" si="18"/>
        <v>1</v>
      </c>
      <c r="BC70" s="65"/>
      <c r="BD70" s="65" t="str">
        <f>GenBS!A70</f>
        <v>Ashtabula County Educ Srv Ctr (CASH)</v>
      </c>
      <c r="BE70" s="66" t="b">
        <f t="shared" si="19"/>
        <v>1</v>
      </c>
      <c r="BG70" s="65" t="str">
        <f t="shared" si="20"/>
        <v>Ashtabula</v>
      </c>
      <c r="BH70" s="66" t="b">
        <f t="shared" si="21"/>
        <v>1</v>
      </c>
      <c r="BJ70" s="66" t="b">
        <f>C70=GenBS!C70</f>
        <v>1</v>
      </c>
    </row>
    <row r="71" spans="1:62">
      <c r="A71" s="3" t="s">
        <v>151</v>
      </c>
      <c r="B71" s="16"/>
      <c r="C71" s="16" t="s">
        <v>148</v>
      </c>
      <c r="E71" s="16">
        <v>135145</v>
      </c>
      <c r="G71" s="20">
        <v>0</v>
      </c>
      <c r="H71" s="20"/>
      <c r="I71" s="20">
        <v>705278</v>
      </c>
      <c r="J71" s="20"/>
      <c r="K71" s="20">
        <v>11279</v>
      </c>
      <c r="L71" s="20"/>
      <c r="M71" s="20">
        <v>1654998</v>
      </c>
      <c r="N71" s="20"/>
      <c r="O71" s="20">
        <v>0</v>
      </c>
      <c r="P71" s="20"/>
      <c r="Q71" s="20">
        <v>0</v>
      </c>
      <c r="R71" s="20"/>
      <c r="S71" s="20">
        <v>10</v>
      </c>
      <c r="T71" s="20"/>
      <c r="U71" s="20">
        <f>916255+24922+1332025</f>
        <v>2273202</v>
      </c>
      <c r="V71" s="20"/>
      <c r="W71" s="15">
        <f>SUM(G71:V71)</f>
        <v>4644767</v>
      </c>
      <c r="X71" s="20"/>
      <c r="Y71" s="20">
        <v>0</v>
      </c>
      <c r="Z71" s="20"/>
      <c r="AA71" s="20">
        <v>0</v>
      </c>
      <c r="AB71" s="20"/>
      <c r="AC71" s="20">
        <v>0</v>
      </c>
      <c r="AD71" s="20"/>
      <c r="AE71" s="3" t="s">
        <v>151</v>
      </c>
      <c r="AF71" s="16"/>
      <c r="AG71" s="16" t="s">
        <v>148</v>
      </c>
      <c r="AH71" s="20"/>
      <c r="AI71" s="20">
        <v>0</v>
      </c>
      <c r="AJ71" s="20"/>
      <c r="AK71" s="20">
        <v>0</v>
      </c>
      <c r="AL71" s="20"/>
      <c r="AM71" s="20">
        <v>0</v>
      </c>
      <c r="AN71" s="20"/>
      <c r="AO71" s="20">
        <v>0</v>
      </c>
      <c r="AP71" s="20"/>
      <c r="AQ71" s="20">
        <v>0</v>
      </c>
      <c r="AR71" s="20"/>
      <c r="AS71" s="20">
        <v>0</v>
      </c>
      <c r="AT71" s="20"/>
      <c r="AU71" s="20">
        <f t="shared" si="15"/>
        <v>0</v>
      </c>
      <c r="AV71" s="20"/>
      <c r="AW71" s="20">
        <f t="shared" si="16"/>
        <v>4644767</v>
      </c>
      <c r="AZ71" s="16"/>
      <c r="BA71" s="3" t="str">
        <f t="shared" si="17"/>
        <v>Athens-Meigs Educ Srv Ctr</v>
      </c>
      <c r="BB71" s="3" t="b">
        <f t="shared" si="18"/>
        <v>1</v>
      </c>
      <c r="BC71" s="3"/>
      <c r="BD71" s="3" t="str">
        <f>GenBS!A71</f>
        <v>Athens-Meigs Educ Srv Ctr</v>
      </c>
      <c r="BE71" s="16" t="b">
        <f t="shared" si="19"/>
        <v>1</v>
      </c>
      <c r="BG71" s="3" t="str">
        <f t="shared" si="20"/>
        <v>Athens</v>
      </c>
      <c r="BH71" s="16" t="b">
        <f t="shared" si="21"/>
        <v>1</v>
      </c>
      <c r="BJ71" s="16" t="b">
        <f>C71=GenBS!C71</f>
        <v>1</v>
      </c>
    </row>
    <row r="72" spans="1:62" s="72" customFormat="1" hidden="1">
      <c r="A72" s="65" t="s">
        <v>416</v>
      </c>
      <c r="B72" s="65"/>
      <c r="C72" s="65" t="s">
        <v>273</v>
      </c>
      <c r="E72" s="66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70">
        <f>SUM(G72:V72)</f>
        <v>0</v>
      </c>
      <c r="X72" s="65"/>
      <c r="Y72" s="65"/>
      <c r="Z72" s="65"/>
      <c r="AA72" s="65"/>
      <c r="AB72" s="65"/>
      <c r="AC72" s="65"/>
      <c r="AD72" s="65"/>
      <c r="AE72" s="65" t="s">
        <v>416</v>
      </c>
      <c r="AF72" s="65"/>
      <c r="AG72" s="65" t="s">
        <v>273</v>
      </c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>
        <f t="shared" si="15"/>
        <v>0</v>
      </c>
      <c r="AV72" s="65"/>
      <c r="AW72" s="65">
        <f t="shared" si="16"/>
        <v>0</v>
      </c>
      <c r="AZ72" s="66" t="s">
        <v>404</v>
      </c>
      <c r="BA72" s="65" t="str">
        <f t="shared" si="17"/>
        <v>Auglaize County Educ Srv Ctr (CASH)</v>
      </c>
      <c r="BB72" s="65" t="b">
        <f t="shared" si="18"/>
        <v>1</v>
      </c>
      <c r="BC72" s="65"/>
      <c r="BD72" s="65" t="str">
        <f>GenBS!A72</f>
        <v>Auglaize County Educ Srv Ctr (CASH)</v>
      </c>
      <c r="BE72" s="66" t="b">
        <f t="shared" si="19"/>
        <v>1</v>
      </c>
      <c r="BG72" s="65" t="str">
        <f t="shared" si="20"/>
        <v>Auglaize</v>
      </c>
      <c r="BH72" s="66" t="b">
        <f t="shared" si="21"/>
        <v>1</v>
      </c>
      <c r="BJ72" s="66" t="b">
        <f>C72=GenBS!C72</f>
        <v>1</v>
      </c>
    </row>
    <row r="73" spans="1:62">
      <c r="A73" s="16" t="s">
        <v>322</v>
      </c>
      <c r="B73" s="16"/>
      <c r="C73" s="16" t="s">
        <v>153</v>
      </c>
      <c r="E73" s="16">
        <v>46029</v>
      </c>
      <c r="G73" s="3">
        <v>0</v>
      </c>
      <c r="H73" s="3"/>
      <c r="I73" s="3">
        <v>723494</v>
      </c>
      <c r="J73" s="3"/>
      <c r="K73" s="3">
        <v>24832</v>
      </c>
      <c r="L73" s="3"/>
      <c r="M73" s="3">
        <v>116123</v>
      </c>
      <c r="N73" s="3"/>
      <c r="O73" s="3">
        <v>0</v>
      </c>
      <c r="P73" s="3"/>
      <c r="Q73" s="3">
        <v>0</v>
      </c>
      <c r="R73" s="3"/>
      <c r="S73" s="3">
        <v>245</v>
      </c>
      <c r="T73" s="3"/>
      <c r="U73" s="3">
        <v>3477921</v>
      </c>
      <c r="V73" s="3"/>
      <c r="W73" s="8">
        <f>SUM(G73:V73)</f>
        <v>4342615</v>
      </c>
      <c r="X73" s="3"/>
      <c r="Y73" s="3">
        <v>0</v>
      </c>
      <c r="Z73" s="3"/>
      <c r="AA73" s="3">
        <v>0</v>
      </c>
      <c r="AB73" s="3"/>
      <c r="AC73" s="3">
        <v>0</v>
      </c>
      <c r="AD73" s="3"/>
      <c r="AE73" s="16" t="s">
        <v>322</v>
      </c>
      <c r="AF73" s="16"/>
      <c r="AG73" s="16" t="s">
        <v>153</v>
      </c>
      <c r="AH73" s="3"/>
      <c r="AI73" s="3">
        <v>0</v>
      </c>
      <c r="AJ73" s="3"/>
      <c r="AK73" s="3">
        <v>0</v>
      </c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v>0</v>
      </c>
      <c r="AT73" s="3"/>
      <c r="AU73" s="3">
        <f t="shared" si="15"/>
        <v>0</v>
      </c>
      <c r="AV73" s="3"/>
      <c r="AW73" s="3">
        <f t="shared" si="16"/>
        <v>4342615</v>
      </c>
      <c r="AZ73" s="3" t="s">
        <v>405</v>
      </c>
      <c r="BA73" s="3" t="str">
        <f t="shared" si="17"/>
        <v>Brown County Educ Srv Ctr</v>
      </c>
      <c r="BB73" s="3" t="b">
        <f t="shared" si="18"/>
        <v>1</v>
      </c>
      <c r="BC73" s="3"/>
      <c r="BD73" s="3" t="str">
        <f>GenBS!A73</f>
        <v>Brown County Educ Srv Ctr</v>
      </c>
      <c r="BE73" s="16" t="b">
        <f t="shared" si="19"/>
        <v>1</v>
      </c>
      <c r="BG73" s="3" t="str">
        <f t="shared" si="20"/>
        <v>Brown</v>
      </c>
      <c r="BH73" s="16" t="b">
        <f t="shared" si="21"/>
        <v>1</v>
      </c>
      <c r="BJ73" s="16" t="b">
        <f>C73=GenBS!C73</f>
        <v>1</v>
      </c>
    </row>
    <row r="74" spans="1:62">
      <c r="A74" s="16" t="s">
        <v>323</v>
      </c>
      <c r="B74" s="16"/>
      <c r="C74" s="16" t="s">
        <v>150</v>
      </c>
      <c r="E74" s="16">
        <v>46086</v>
      </c>
      <c r="G74" s="3">
        <v>0</v>
      </c>
      <c r="H74" s="3"/>
      <c r="I74" s="3">
        <v>1988907</v>
      </c>
      <c r="J74" s="3"/>
      <c r="K74" s="3">
        <v>16230</v>
      </c>
      <c r="L74" s="3"/>
      <c r="M74" s="3">
        <v>41400</v>
      </c>
      <c r="N74" s="3"/>
      <c r="O74" s="3">
        <v>0</v>
      </c>
      <c r="P74" s="3"/>
      <c r="Q74" s="3">
        <v>0</v>
      </c>
      <c r="R74" s="3"/>
      <c r="S74" s="3">
        <v>0</v>
      </c>
      <c r="T74" s="3"/>
      <c r="U74" s="3">
        <f>4454612+1197324</f>
        <v>5651936</v>
      </c>
      <c r="V74" s="3"/>
      <c r="W74" s="8">
        <f t="shared" ref="W74:W130" si="22">SUM(G74:V74)</f>
        <v>7698473</v>
      </c>
      <c r="X74" s="3"/>
      <c r="Y74" s="3">
        <v>0</v>
      </c>
      <c r="Z74" s="3"/>
      <c r="AA74" s="3">
        <v>0</v>
      </c>
      <c r="AB74" s="3"/>
      <c r="AC74" s="3">
        <v>0</v>
      </c>
      <c r="AD74" s="3"/>
      <c r="AE74" s="16" t="s">
        <v>323</v>
      </c>
      <c r="AF74" s="16"/>
      <c r="AG74" s="16" t="s">
        <v>150</v>
      </c>
      <c r="AH74" s="3"/>
      <c r="AI74" s="3">
        <v>0</v>
      </c>
      <c r="AJ74" s="3"/>
      <c r="AK74" s="3">
        <v>0</v>
      </c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f t="shared" si="15"/>
        <v>0</v>
      </c>
      <c r="AV74" s="3"/>
      <c r="AW74" s="3">
        <f t="shared" si="16"/>
        <v>7698473</v>
      </c>
      <c r="AZ74" s="3"/>
      <c r="BA74" s="3" t="str">
        <f t="shared" si="17"/>
        <v>Butler County Educ Srv Ctr</v>
      </c>
      <c r="BB74" s="3" t="b">
        <f t="shared" si="18"/>
        <v>1</v>
      </c>
      <c r="BC74" s="3"/>
      <c r="BD74" s="3" t="str">
        <f>GenBS!A74</f>
        <v>Butler County Educ Srv Ctr</v>
      </c>
      <c r="BE74" s="16" t="b">
        <f t="shared" si="19"/>
        <v>1</v>
      </c>
      <c r="BG74" s="3" t="str">
        <f t="shared" si="20"/>
        <v>Butler</v>
      </c>
      <c r="BH74" s="16" t="b">
        <f t="shared" si="21"/>
        <v>1</v>
      </c>
      <c r="BJ74" s="16" t="b">
        <f>C74=GenBS!C74</f>
        <v>1</v>
      </c>
    </row>
    <row r="75" spans="1:62">
      <c r="A75" s="16" t="s">
        <v>324</v>
      </c>
      <c r="B75" s="16"/>
      <c r="C75" s="16" t="s">
        <v>155</v>
      </c>
      <c r="E75" s="16">
        <v>46227</v>
      </c>
      <c r="G75" s="3">
        <v>0</v>
      </c>
      <c r="H75" s="3"/>
      <c r="I75" s="3">
        <v>1950532</v>
      </c>
      <c r="J75" s="3"/>
      <c r="K75" s="3">
        <v>2480</v>
      </c>
      <c r="L75" s="3"/>
      <c r="M75" s="3">
        <v>3941029</v>
      </c>
      <c r="N75" s="3"/>
      <c r="O75" s="3">
        <v>0</v>
      </c>
      <c r="P75" s="3"/>
      <c r="Q75" s="3">
        <v>0</v>
      </c>
      <c r="R75" s="3"/>
      <c r="S75" s="3">
        <v>0</v>
      </c>
      <c r="T75" s="3"/>
      <c r="U75" s="3">
        <f>166729+104621</f>
        <v>271350</v>
      </c>
      <c r="V75" s="3"/>
      <c r="W75" s="8">
        <f t="shared" si="22"/>
        <v>6165391</v>
      </c>
      <c r="X75" s="3"/>
      <c r="Y75" s="3">
        <v>0</v>
      </c>
      <c r="Z75" s="3"/>
      <c r="AA75" s="3">
        <v>0</v>
      </c>
      <c r="AB75" s="3"/>
      <c r="AC75" s="3">
        <v>0</v>
      </c>
      <c r="AD75" s="3"/>
      <c r="AE75" s="16" t="s">
        <v>324</v>
      </c>
      <c r="AF75" s="16"/>
      <c r="AG75" s="16" t="s">
        <v>155</v>
      </c>
      <c r="AH75" s="3"/>
      <c r="AI75" s="3">
        <v>0</v>
      </c>
      <c r="AJ75" s="3"/>
      <c r="AK75" s="3">
        <v>0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f t="shared" si="15"/>
        <v>0</v>
      </c>
      <c r="AV75" s="3"/>
      <c r="AW75" s="3">
        <f t="shared" si="16"/>
        <v>6165391</v>
      </c>
      <c r="AZ75" s="3"/>
      <c r="BA75" s="3" t="str">
        <f t="shared" si="17"/>
        <v>Clark County Educ Srv Ctr</v>
      </c>
      <c r="BB75" s="3" t="b">
        <f t="shared" si="18"/>
        <v>1</v>
      </c>
      <c r="BC75" s="3"/>
      <c r="BD75" s="3" t="str">
        <f>GenBS!A75</f>
        <v>Clark County Educ Srv Ctr</v>
      </c>
      <c r="BE75" s="16" t="b">
        <f t="shared" si="19"/>
        <v>1</v>
      </c>
      <c r="BG75" s="3" t="str">
        <f t="shared" si="20"/>
        <v>Clark</v>
      </c>
      <c r="BH75" s="16" t="b">
        <f t="shared" si="21"/>
        <v>1</v>
      </c>
      <c r="BJ75" s="16" t="b">
        <f>C75=GenBS!C75</f>
        <v>1</v>
      </c>
    </row>
    <row r="76" spans="1:62">
      <c r="A76" s="3" t="s">
        <v>156</v>
      </c>
      <c r="B76" s="16"/>
      <c r="C76" s="16" t="s">
        <v>157</v>
      </c>
      <c r="E76" s="16">
        <v>46292</v>
      </c>
      <c r="G76" s="3">
        <v>0</v>
      </c>
      <c r="H76" s="3"/>
      <c r="I76" s="3">
        <v>1786284</v>
      </c>
      <c r="J76" s="3"/>
      <c r="K76" s="3">
        <v>11348</v>
      </c>
      <c r="L76" s="3"/>
      <c r="M76" s="3">
        <f>16190336+570217+238199</f>
        <v>16998752</v>
      </c>
      <c r="N76" s="3"/>
      <c r="O76" s="3">
        <v>0</v>
      </c>
      <c r="P76" s="3"/>
      <c r="Q76" s="3">
        <v>0</v>
      </c>
      <c r="R76" s="3"/>
      <c r="S76" s="3">
        <v>17278</v>
      </c>
      <c r="T76" s="3"/>
      <c r="U76" s="3">
        <v>25070</v>
      </c>
      <c r="V76" s="3"/>
      <c r="W76" s="8">
        <f t="shared" si="22"/>
        <v>18838732</v>
      </c>
      <c r="X76" s="3"/>
      <c r="Y76" s="3">
        <v>0</v>
      </c>
      <c r="Z76" s="3"/>
      <c r="AA76" s="3">
        <v>0</v>
      </c>
      <c r="AB76" s="3"/>
      <c r="AC76" s="3">
        <v>0</v>
      </c>
      <c r="AD76" s="3"/>
      <c r="AE76" s="3" t="s">
        <v>156</v>
      </c>
      <c r="AF76" s="16"/>
      <c r="AG76" s="16" t="s">
        <v>157</v>
      </c>
      <c r="AH76" s="3"/>
      <c r="AI76" s="3">
        <v>0</v>
      </c>
      <c r="AJ76" s="3"/>
      <c r="AK76" s="3">
        <v>0</v>
      </c>
      <c r="AL76" s="3"/>
      <c r="AM76" s="3">
        <v>0</v>
      </c>
      <c r="AN76" s="3"/>
      <c r="AO76" s="3">
        <v>0</v>
      </c>
      <c r="AP76" s="3"/>
      <c r="AQ76" s="3">
        <v>0</v>
      </c>
      <c r="AR76" s="3"/>
      <c r="AS76" s="3">
        <v>0</v>
      </c>
      <c r="AT76" s="3"/>
      <c r="AU76" s="3">
        <f t="shared" si="15"/>
        <v>0</v>
      </c>
      <c r="AV76" s="3"/>
      <c r="AW76" s="3">
        <f t="shared" si="16"/>
        <v>18838732</v>
      </c>
      <c r="AZ76" s="3" t="s">
        <v>425</v>
      </c>
      <c r="BA76" s="3" t="str">
        <f t="shared" si="17"/>
        <v>Clermont County Educ Srv Ctr</v>
      </c>
      <c r="BB76" s="3" t="b">
        <f t="shared" si="18"/>
        <v>1</v>
      </c>
      <c r="BC76" s="3"/>
      <c r="BD76" s="3" t="str">
        <f>GenBS!A76</f>
        <v>Clermont County Educ Srv Ctr</v>
      </c>
      <c r="BE76" s="16" t="b">
        <f t="shared" si="19"/>
        <v>1</v>
      </c>
      <c r="BG76" s="3" t="str">
        <f t="shared" si="20"/>
        <v>Clermont</v>
      </c>
      <c r="BH76" s="16" t="b">
        <f t="shared" si="21"/>
        <v>1</v>
      </c>
      <c r="BJ76" s="16" t="b">
        <f>C76=GenBS!C76</f>
        <v>1</v>
      </c>
    </row>
    <row r="77" spans="1:62" s="72" customFormat="1" hidden="1">
      <c r="A77" s="66" t="s">
        <v>294</v>
      </c>
      <c r="B77" s="66"/>
      <c r="C77" s="66" t="s">
        <v>158</v>
      </c>
      <c r="E77" s="66">
        <v>46375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70">
        <f t="shared" si="22"/>
        <v>0</v>
      </c>
      <c r="X77" s="65"/>
      <c r="Y77" s="65"/>
      <c r="Z77" s="65"/>
      <c r="AA77" s="65"/>
      <c r="AB77" s="65"/>
      <c r="AC77" s="65"/>
      <c r="AD77" s="65"/>
      <c r="AE77" s="66" t="s">
        <v>294</v>
      </c>
      <c r="AF77" s="66"/>
      <c r="AG77" s="66" t="s">
        <v>158</v>
      </c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>
        <f t="shared" si="15"/>
        <v>0</v>
      </c>
      <c r="AV77" s="65"/>
      <c r="AW77" s="65">
        <f t="shared" si="16"/>
        <v>0</v>
      </c>
      <c r="AZ77" s="66" t="s">
        <v>314</v>
      </c>
      <c r="BA77" s="65" t="str">
        <f t="shared" si="17"/>
        <v>Clinton Fayette Highland Educ-now Southern Ohio ESC</v>
      </c>
      <c r="BB77" s="65" t="b">
        <f t="shared" si="18"/>
        <v>1</v>
      </c>
      <c r="BC77" s="65"/>
      <c r="BD77" s="65" t="str">
        <f>GenBS!A77</f>
        <v>Clinton Fayette Highland Educ-now Southern Ohio ESC</v>
      </c>
      <c r="BE77" s="66" t="b">
        <f t="shared" si="19"/>
        <v>1</v>
      </c>
      <c r="BG77" s="65" t="str">
        <f t="shared" si="20"/>
        <v>Clinton</v>
      </c>
      <c r="BH77" s="66" t="b">
        <f t="shared" si="21"/>
        <v>1</v>
      </c>
      <c r="BJ77" s="66" t="b">
        <f>C77=GenBS!C77</f>
        <v>1</v>
      </c>
    </row>
    <row r="78" spans="1:62">
      <c r="A78" s="16" t="s">
        <v>345</v>
      </c>
      <c r="B78" s="16"/>
      <c r="C78" s="16" t="s">
        <v>159</v>
      </c>
      <c r="E78" s="16">
        <v>46417</v>
      </c>
      <c r="G78" s="3">
        <v>0</v>
      </c>
      <c r="H78" s="3"/>
      <c r="I78" s="3">
        <v>1274333</v>
      </c>
      <c r="J78" s="3"/>
      <c r="K78" s="3">
        <v>620</v>
      </c>
      <c r="L78" s="3"/>
      <c r="M78" s="3">
        <v>7125483</v>
      </c>
      <c r="N78" s="3"/>
      <c r="O78" s="3">
        <v>5503</v>
      </c>
      <c r="P78" s="3"/>
      <c r="Q78" s="3">
        <v>0</v>
      </c>
      <c r="R78" s="3"/>
      <c r="S78" s="3">
        <v>4987</v>
      </c>
      <c r="T78" s="3"/>
      <c r="U78" s="3">
        <f>17989+1383674</f>
        <v>1401663</v>
      </c>
      <c r="V78" s="3"/>
      <c r="W78" s="8">
        <f t="shared" si="22"/>
        <v>9812589</v>
      </c>
      <c r="X78" s="3"/>
      <c r="Y78" s="3">
        <v>64784</v>
      </c>
      <c r="Z78" s="3"/>
      <c r="AA78" s="3">
        <v>0</v>
      </c>
      <c r="AB78" s="3"/>
      <c r="AC78" s="3">
        <v>0</v>
      </c>
      <c r="AD78" s="3"/>
      <c r="AE78" s="16" t="s">
        <v>345</v>
      </c>
      <c r="AF78" s="16"/>
      <c r="AG78" s="16" t="s">
        <v>159</v>
      </c>
      <c r="AH78" s="3"/>
      <c r="AI78" s="3">
        <v>0</v>
      </c>
      <c r="AJ78" s="3"/>
      <c r="AK78" s="3">
        <v>78959</v>
      </c>
      <c r="AL78" s="3"/>
      <c r="AM78" s="3">
        <v>0</v>
      </c>
      <c r="AN78" s="3"/>
      <c r="AO78" s="3">
        <v>0</v>
      </c>
      <c r="AP78" s="3"/>
      <c r="AQ78" s="3">
        <v>0</v>
      </c>
      <c r="AR78" s="3"/>
      <c r="AS78" s="3">
        <v>0</v>
      </c>
      <c r="AT78" s="3"/>
      <c r="AU78" s="3">
        <f t="shared" si="15"/>
        <v>143743</v>
      </c>
      <c r="AV78" s="3"/>
      <c r="AW78" s="3">
        <f t="shared" si="16"/>
        <v>9956332</v>
      </c>
      <c r="AZ78" s="3"/>
      <c r="BA78" s="3" t="str">
        <f t="shared" si="17"/>
        <v>Columbiana County Educ Srv Ctr</v>
      </c>
      <c r="BB78" s="3" t="b">
        <f t="shared" si="18"/>
        <v>1</v>
      </c>
      <c r="BC78" s="3"/>
      <c r="BD78" s="3" t="str">
        <f>GenBS!A78</f>
        <v>Columbiana County Educ Srv Ctr</v>
      </c>
      <c r="BE78" s="16" t="b">
        <f t="shared" si="19"/>
        <v>1</v>
      </c>
      <c r="BG78" s="3" t="str">
        <f t="shared" si="20"/>
        <v>Columbiana</v>
      </c>
      <c r="BH78" s="16" t="b">
        <f t="shared" si="21"/>
        <v>1</v>
      </c>
      <c r="BJ78" s="16" t="b">
        <f>C78=GenBS!C78</f>
        <v>1</v>
      </c>
    </row>
    <row r="79" spans="1:62">
      <c r="A79" s="3" t="s">
        <v>347</v>
      </c>
      <c r="B79" s="16"/>
      <c r="C79" s="16" t="s">
        <v>160</v>
      </c>
      <c r="E79" s="16">
        <v>46532</v>
      </c>
      <c r="G79" s="3">
        <v>0</v>
      </c>
      <c r="H79" s="3"/>
      <c r="I79" s="3">
        <v>6267757</v>
      </c>
      <c r="J79" s="3"/>
      <c r="K79" s="3">
        <v>69468</v>
      </c>
      <c r="L79" s="3"/>
      <c r="M79" s="3">
        <v>35333836</v>
      </c>
      <c r="N79" s="3"/>
      <c r="O79" s="3">
        <v>25</v>
      </c>
      <c r="P79" s="3"/>
      <c r="Q79" s="3">
        <v>0</v>
      </c>
      <c r="R79" s="3"/>
      <c r="S79" s="3">
        <v>32794</v>
      </c>
      <c r="T79" s="3"/>
      <c r="U79" s="3">
        <f>12905159+902044+459359</f>
        <v>14266562</v>
      </c>
      <c r="V79" s="3"/>
      <c r="W79" s="8">
        <f t="shared" si="22"/>
        <v>55970442</v>
      </c>
      <c r="X79" s="3"/>
      <c r="Y79" s="3">
        <v>0</v>
      </c>
      <c r="Z79" s="3"/>
      <c r="AA79" s="3">
        <v>0</v>
      </c>
      <c r="AB79" s="3"/>
      <c r="AC79" s="3">
        <v>0</v>
      </c>
      <c r="AD79" s="3"/>
      <c r="AE79" s="3" t="s">
        <v>347</v>
      </c>
      <c r="AF79" s="16"/>
      <c r="AG79" s="16" t="s">
        <v>160</v>
      </c>
      <c r="AH79" s="3"/>
      <c r="AI79" s="3">
        <v>0</v>
      </c>
      <c r="AJ79" s="3"/>
      <c r="AK79" s="3">
        <v>73318</v>
      </c>
      <c r="AL79" s="3"/>
      <c r="AM79" s="3">
        <v>575</v>
      </c>
      <c r="AN79" s="3"/>
      <c r="AO79" s="3">
        <v>0</v>
      </c>
      <c r="AP79" s="3"/>
      <c r="AQ79" s="3">
        <v>0</v>
      </c>
      <c r="AR79" s="3"/>
      <c r="AS79" s="3">
        <v>0</v>
      </c>
      <c r="AT79" s="3"/>
      <c r="AU79" s="3">
        <f t="shared" si="15"/>
        <v>73893</v>
      </c>
      <c r="AV79" s="3"/>
      <c r="AW79" s="3">
        <f t="shared" si="16"/>
        <v>56044335</v>
      </c>
      <c r="AZ79" s="16" t="s">
        <v>315</v>
      </c>
      <c r="BA79" s="3" t="str">
        <f t="shared" si="17"/>
        <v>Cuyahoga Educ Srv Ctr-now Educ Srv Ctr of Cuyahoga County</v>
      </c>
      <c r="BB79" s="3" t="b">
        <f t="shared" si="18"/>
        <v>1</v>
      </c>
      <c r="BC79" s="3"/>
      <c r="BD79" s="3" t="str">
        <f>GenBS!A79</f>
        <v>Cuyahoga Educ Srv Ctr-now Educ Srv Ctr of Cuyahoga County</v>
      </c>
      <c r="BE79" s="16" t="b">
        <f t="shared" si="19"/>
        <v>1</v>
      </c>
      <c r="BG79" s="3" t="str">
        <f t="shared" si="20"/>
        <v>Cuyahoga</v>
      </c>
      <c r="BH79" s="16" t="b">
        <f t="shared" si="21"/>
        <v>1</v>
      </c>
      <c r="BJ79" s="16" t="b">
        <f>C79=GenBS!C79</f>
        <v>1</v>
      </c>
    </row>
    <row r="80" spans="1:62" s="72" customFormat="1" hidden="1">
      <c r="A80" s="65" t="s">
        <v>376</v>
      </c>
      <c r="B80" s="66"/>
      <c r="C80" s="66" t="s">
        <v>161</v>
      </c>
      <c r="E80" s="66">
        <v>46615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70">
        <f t="shared" si="22"/>
        <v>0</v>
      </c>
      <c r="X80" s="65"/>
      <c r="Y80" s="65"/>
      <c r="Z80" s="65"/>
      <c r="AA80" s="65"/>
      <c r="AB80" s="65"/>
      <c r="AC80" s="65"/>
      <c r="AD80" s="65"/>
      <c r="AE80" s="65" t="s">
        <v>376</v>
      </c>
      <c r="AF80" s="66"/>
      <c r="AG80" s="66" t="s">
        <v>161</v>
      </c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>
        <f t="shared" si="15"/>
        <v>0</v>
      </c>
      <c r="AV80" s="65"/>
      <c r="AW80" s="65">
        <f t="shared" si="16"/>
        <v>0</v>
      </c>
      <c r="AZ80" s="66" t="s">
        <v>377</v>
      </c>
      <c r="BA80" s="65" t="str">
        <f t="shared" si="17"/>
        <v>Darke County Educ Srv Ctr (CASH)</v>
      </c>
      <c r="BB80" s="65" t="b">
        <f t="shared" si="18"/>
        <v>1</v>
      </c>
      <c r="BC80" s="65"/>
      <c r="BD80" s="65" t="str">
        <f>GenBS!A80</f>
        <v>Darke County Educ Srv Ctr (CASH)</v>
      </c>
      <c r="BE80" s="66" t="b">
        <f t="shared" si="19"/>
        <v>1</v>
      </c>
      <c r="BG80" s="65" t="str">
        <f t="shared" si="20"/>
        <v>Darke</v>
      </c>
      <c r="BH80" s="66" t="b">
        <f t="shared" si="21"/>
        <v>1</v>
      </c>
      <c r="BJ80" s="66" t="b">
        <f>C80=GenBS!C80</f>
        <v>1</v>
      </c>
    </row>
    <row r="81" spans="1:62" s="72" customFormat="1" hidden="1">
      <c r="A81" s="65" t="s">
        <v>346</v>
      </c>
      <c r="B81" s="66"/>
      <c r="C81" s="66" t="s">
        <v>162</v>
      </c>
      <c r="E81" s="66">
        <v>46730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70">
        <f t="shared" si="22"/>
        <v>0</v>
      </c>
      <c r="X81" s="65"/>
      <c r="Y81" s="65"/>
      <c r="Z81" s="65"/>
      <c r="AA81" s="65"/>
      <c r="AB81" s="65"/>
      <c r="AC81" s="65"/>
      <c r="AD81" s="65"/>
      <c r="AE81" s="65" t="s">
        <v>346</v>
      </c>
      <c r="AF81" s="66"/>
      <c r="AG81" s="66" t="s">
        <v>162</v>
      </c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>
        <f t="shared" si="15"/>
        <v>0</v>
      </c>
      <c r="AV81" s="65"/>
      <c r="AW81" s="65">
        <f t="shared" si="16"/>
        <v>0</v>
      </c>
      <c r="AZ81" s="66" t="s">
        <v>316</v>
      </c>
      <c r="BA81" s="65" t="str">
        <f t="shared" si="17"/>
        <v>Delaware-Union Educ Srv Ctr - see note to right</v>
      </c>
      <c r="BB81" s="65" t="b">
        <f t="shared" si="18"/>
        <v>1</v>
      </c>
      <c r="BC81" s="65"/>
      <c r="BD81" s="65" t="str">
        <f>GenBS!A81</f>
        <v>Delaware-Union Educ Srv Ctr - see note to right</v>
      </c>
      <c r="BE81" s="66" t="b">
        <f t="shared" si="19"/>
        <v>1</v>
      </c>
      <c r="BG81" s="65" t="str">
        <f t="shared" si="20"/>
        <v>Delaware</v>
      </c>
      <c r="BH81" s="66" t="b">
        <f t="shared" si="21"/>
        <v>1</v>
      </c>
      <c r="BJ81" s="66" t="b">
        <f>C81=GenBS!C81</f>
        <v>1</v>
      </c>
    </row>
    <row r="82" spans="1:62">
      <c r="A82" s="3" t="s">
        <v>344</v>
      </c>
      <c r="B82" s="16"/>
      <c r="C82" s="3" t="s">
        <v>202</v>
      </c>
      <c r="E82" s="16"/>
      <c r="G82" s="3">
        <v>0</v>
      </c>
      <c r="H82" s="3"/>
      <c r="I82" s="3">
        <v>1756698</v>
      </c>
      <c r="J82" s="3"/>
      <c r="K82" s="3">
        <v>3385</v>
      </c>
      <c r="L82" s="3"/>
      <c r="M82" s="3">
        <v>2099752</v>
      </c>
      <c r="N82" s="3"/>
      <c r="O82" s="3">
        <v>0</v>
      </c>
      <c r="P82" s="3"/>
      <c r="Q82" s="3">
        <v>0</v>
      </c>
      <c r="R82" s="3"/>
      <c r="S82" s="3">
        <v>0</v>
      </c>
      <c r="T82" s="3"/>
      <c r="U82" s="3">
        <v>4839751</v>
      </c>
      <c r="V82" s="3"/>
      <c r="W82" s="8">
        <f t="shared" si="22"/>
        <v>8699586</v>
      </c>
      <c r="X82" s="3"/>
      <c r="Y82" s="3">
        <v>0</v>
      </c>
      <c r="Z82" s="3"/>
      <c r="AA82" s="3">
        <v>0</v>
      </c>
      <c r="AB82" s="3"/>
      <c r="AC82" s="3">
        <v>0</v>
      </c>
      <c r="AD82" s="3"/>
      <c r="AE82" s="3" t="s">
        <v>344</v>
      </c>
      <c r="AF82" s="16"/>
      <c r="AG82" s="3" t="s">
        <v>202</v>
      </c>
      <c r="AH82" s="3"/>
      <c r="AI82" s="3">
        <v>0</v>
      </c>
      <c r="AJ82" s="3"/>
      <c r="AK82" s="3">
        <v>0</v>
      </c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v>0</v>
      </c>
      <c r="AT82" s="3"/>
      <c r="AU82" s="3">
        <f t="shared" si="15"/>
        <v>0</v>
      </c>
      <c r="AV82" s="3"/>
      <c r="AW82" s="3">
        <f t="shared" si="16"/>
        <v>8699586</v>
      </c>
      <c r="AZ82" s="16" t="s">
        <v>317</v>
      </c>
      <c r="BA82" s="3" t="str">
        <f t="shared" si="17"/>
        <v>East Central Ohio Educ Srv Ctr</v>
      </c>
      <c r="BB82" s="3" t="b">
        <f t="shared" si="18"/>
        <v>1</v>
      </c>
      <c r="BC82" s="3"/>
      <c r="BD82" s="3" t="str">
        <f>GenBS!A82</f>
        <v>East Central Ohio Educ Srv Ctr</v>
      </c>
      <c r="BE82" s="16" t="b">
        <f t="shared" si="19"/>
        <v>1</v>
      </c>
      <c r="BG82" s="3" t="str">
        <f t="shared" si="20"/>
        <v>Tuscarawas</v>
      </c>
      <c r="BH82" s="16" t="b">
        <f t="shared" si="21"/>
        <v>1</v>
      </c>
      <c r="BJ82" s="16" t="b">
        <f>C82=GenBS!C82</f>
        <v>1</v>
      </c>
    </row>
    <row r="83" spans="1:62">
      <c r="A83" s="3" t="s">
        <v>382</v>
      </c>
      <c r="B83" s="16"/>
      <c r="C83" s="16" t="s">
        <v>165</v>
      </c>
      <c r="E83" s="16">
        <v>46938</v>
      </c>
      <c r="G83" s="3">
        <v>0</v>
      </c>
      <c r="H83" s="3"/>
      <c r="I83" s="3">
        <f>6381486+1258467</f>
        <v>7639953</v>
      </c>
      <c r="J83" s="3"/>
      <c r="K83" s="3">
        <v>53989</v>
      </c>
      <c r="L83" s="3"/>
      <c r="M83" s="3">
        <v>16760635</v>
      </c>
      <c r="N83" s="3"/>
      <c r="O83" s="3">
        <v>0</v>
      </c>
      <c r="P83" s="3"/>
      <c r="Q83" s="3">
        <v>0</v>
      </c>
      <c r="R83" s="3"/>
      <c r="S83" s="3">
        <v>263942</v>
      </c>
      <c r="T83" s="3"/>
      <c r="U83" s="3">
        <f>31410427+85288+42766</f>
        <v>31538481</v>
      </c>
      <c r="V83" s="3"/>
      <c r="W83" s="8">
        <f>SUM(G83:V83)</f>
        <v>56257000</v>
      </c>
      <c r="X83" s="3"/>
      <c r="Y83" s="3">
        <v>0</v>
      </c>
      <c r="Z83" s="3"/>
      <c r="AA83" s="3">
        <v>0</v>
      </c>
      <c r="AB83" s="3"/>
      <c r="AC83" s="3">
        <v>0</v>
      </c>
      <c r="AD83" s="3"/>
      <c r="AE83" s="3" t="s">
        <v>382</v>
      </c>
      <c r="AF83" s="16"/>
      <c r="AG83" s="16" t="s">
        <v>165</v>
      </c>
      <c r="AH83" s="3"/>
      <c r="AI83" s="3">
        <v>0</v>
      </c>
      <c r="AJ83" s="3"/>
      <c r="AK83" s="3">
        <v>0</v>
      </c>
      <c r="AL83" s="3"/>
      <c r="AM83" s="3">
        <v>0</v>
      </c>
      <c r="AN83" s="3"/>
      <c r="AO83" s="3">
        <v>0</v>
      </c>
      <c r="AP83" s="3"/>
      <c r="AQ83" s="3">
        <v>0</v>
      </c>
      <c r="AR83" s="3"/>
      <c r="AS83" s="3">
        <v>0</v>
      </c>
      <c r="AT83" s="3"/>
      <c r="AU83" s="3">
        <f t="shared" si="15"/>
        <v>0</v>
      </c>
      <c r="AV83" s="3"/>
      <c r="AW83" s="3">
        <f t="shared" si="16"/>
        <v>56257000</v>
      </c>
      <c r="AZ83" s="16" t="s">
        <v>319</v>
      </c>
      <c r="BA83" s="3" t="str">
        <f t="shared" si="17"/>
        <v>Educational Service Center of Central Ohio</v>
      </c>
      <c r="BB83" s="3" t="b">
        <f t="shared" si="18"/>
        <v>1</v>
      </c>
      <c r="BC83" s="3"/>
      <c r="BD83" s="3" t="str">
        <f>GenBS!A83</f>
        <v>Educational Service Center of Central Ohio</v>
      </c>
      <c r="BE83" s="16" t="b">
        <f>BA83=BD83</f>
        <v>1</v>
      </c>
      <c r="BG83" s="3" t="str">
        <f t="shared" si="20"/>
        <v>Franklin</v>
      </c>
      <c r="BH83" s="16" t="b">
        <f t="shared" si="21"/>
        <v>1</v>
      </c>
      <c r="BJ83" s="16" t="b">
        <f>C83=GenBS!C83</f>
        <v>1</v>
      </c>
    </row>
    <row r="84" spans="1:62" s="72" customFormat="1" hidden="1">
      <c r="A84" s="66" t="s">
        <v>292</v>
      </c>
      <c r="B84" s="66"/>
      <c r="C84" s="66" t="s">
        <v>163</v>
      </c>
      <c r="E84" s="66">
        <v>125690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70">
        <f t="shared" si="22"/>
        <v>0</v>
      </c>
      <c r="X84" s="65"/>
      <c r="Y84" s="65"/>
      <c r="Z84" s="65"/>
      <c r="AA84" s="65"/>
      <c r="AB84" s="65"/>
      <c r="AC84" s="65"/>
      <c r="AD84" s="65"/>
      <c r="AE84" s="66" t="s">
        <v>292</v>
      </c>
      <c r="AF84" s="66"/>
      <c r="AG84" s="66" t="s">
        <v>163</v>
      </c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>
        <f t="shared" si="15"/>
        <v>0</v>
      </c>
      <c r="AV84" s="65"/>
      <c r="AW84" s="65">
        <f t="shared" si="16"/>
        <v>0</v>
      </c>
      <c r="AZ84" s="66" t="s">
        <v>318</v>
      </c>
      <c r="BA84" s="65" t="str">
        <f t="shared" si="17"/>
        <v>Erie-Huron-Ottawa Educ Srv Ctr-now North Point ESC</v>
      </c>
      <c r="BB84" s="65" t="b">
        <f t="shared" si="18"/>
        <v>1</v>
      </c>
      <c r="BC84" s="65"/>
      <c r="BD84" s="65" t="str">
        <f>GenBS!A84</f>
        <v>Erie-Huron-Ottawa Educ Srv Ctr-now North Point ESC</v>
      </c>
      <c r="BE84" s="66" t="b">
        <f t="shared" si="19"/>
        <v>1</v>
      </c>
      <c r="BG84" s="65" t="str">
        <f t="shared" si="20"/>
        <v>Erie</v>
      </c>
      <c r="BH84" s="66" t="b">
        <f t="shared" si="21"/>
        <v>1</v>
      </c>
      <c r="BJ84" s="66" t="b">
        <f>C84=GenBS!C84</f>
        <v>1</v>
      </c>
    </row>
    <row r="85" spans="1:62">
      <c r="A85" s="3" t="s">
        <v>385</v>
      </c>
      <c r="B85" s="16"/>
      <c r="C85" s="16" t="s">
        <v>164</v>
      </c>
      <c r="E85" s="16">
        <v>46839</v>
      </c>
      <c r="G85" s="3">
        <v>0</v>
      </c>
      <c r="H85" s="3"/>
      <c r="I85" s="3">
        <v>1212794</v>
      </c>
      <c r="J85" s="3"/>
      <c r="K85" s="3">
        <v>2748</v>
      </c>
      <c r="L85" s="3"/>
      <c r="M85" s="3">
        <v>5875279</v>
      </c>
      <c r="N85" s="3"/>
      <c r="O85" s="3">
        <v>0</v>
      </c>
      <c r="P85" s="3"/>
      <c r="Q85" s="3">
        <v>0</v>
      </c>
      <c r="R85" s="3"/>
      <c r="S85" s="3">
        <v>0</v>
      </c>
      <c r="T85" s="3"/>
      <c r="U85" s="3">
        <f>995184+8049</f>
        <v>1003233</v>
      </c>
      <c r="V85" s="3"/>
      <c r="W85" s="8">
        <f t="shared" si="22"/>
        <v>8094054</v>
      </c>
      <c r="X85" s="3"/>
      <c r="Y85" s="3">
        <v>0</v>
      </c>
      <c r="Z85" s="3"/>
      <c r="AA85" s="3">
        <v>0</v>
      </c>
      <c r="AB85" s="3"/>
      <c r="AC85" s="3">
        <v>0</v>
      </c>
      <c r="AD85" s="3"/>
      <c r="AE85" s="3" t="s">
        <v>385</v>
      </c>
      <c r="AF85" s="16"/>
      <c r="AG85" s="16" t="s">
        <v>164</v>
      </c>
      <c r="AH85" s="3"/>
      <c r="AI85" s="3">
        <v>0</v>
      </c>
      <c r="AJ85" s="3"/>
      <c r="AK85" s="3">
        <v>0</v>
      </c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v>0</v>
      </c>
      <c r="AT85" s="3"/>
      <c r="AU85" s="3">
        <f t="shared" si="15"/>
        <v>0</v>
      </c>
      <c r="AV85" s="3"/>
      <c r="AW85" s="3">
        <f t="shared" si="16"/>
        <v>8094054</v>
      </c>
      <c r="AZ85" s="16"/>
      <c r="BA85" s="3" t="str">
        <f t="shared" si="17"/>
        <v>Fairfield County Educ Srv Ctr</v>
      </c>
      <c r="BB85" s="3" t="b">
        <f t="shared" si="18"/>
        <v>1</v>
      </c>
      <c r="BC85" s="3"/>
      <c r="BD85" s="3" t="str">
        <f>GenBS!A85</f>
        <v>Fairfield County Educ Srv Ctr</v>
      </c>
      <c r="BE85" s="16" t="b">
        <f t="shared" si="19"/>
        <v>1</v>
      </c>
      <c r="BG85" s="3" t="str">
        <f t="shared" si="20"/>
        <v>Fairfield</v>
      </c>
      <c r="BH85" s="16" t="b">
        <f t="shared" si="21"/>
        <v>1</v>
      </c>
      <c r="BJ85" s="16" t="b">
        <f>C85=GenBS!C85</f>
        <v>1</v>
      </c>
    </row>
    <row r="86" spans="1:62">
      <c r="A86" s="3" t="s">
        <v>167</v>
      </c>
      <c r="B86" s="16"/>
      <c r="C86" s="16" t="s">
        <v>168</v>
      </c>
      <c r="E86" s="16">
        <v>125682</v>
      </c>
      <c r="G86" s="3">
        <v>0</v>
      </c>
      <c r="H86" s="3"/>
      <c r="I86" s="3">
        <v>178575</v>
      </c>
      <c r="J86" s="3"/>
      <c r="K86" s="3">
        <v>40517</v>
      </c>
      <c r="L86" s="3"/>
      <c r="M86" s="3">
        <f>112246</f>
        <v>112246</v>
      </c>
      <c r="N86" s="3"/>
      <c r="O86" s="3">
        <v>0</v>
      </c>
      <c r="P86" s="3"/>
      <c r="Q86" s="3">
        <v>0</v>
      </c>
      <c r="R86" s="3"/>
      <c r="S86" s="3">
        <v>0</v>
      </c>
      <c r="T86" s="3"/>
      <c r="U86" s="3">
        <f>1582895+9432</f>
        <v>1592327</v>
      </c>
      <c r="V86" s="3"/>
      <c r="W86" s="8">
        <f t="shared" si="22"/>
        <v>1923665</v>
      </c>
      <c r="X86" s="3"/>
      <c r="Y86" s="3">
        <v>0</v>
      </c>
      <c r="Z86" s="3"/>
      <c r="AA86" s="3">
        <v>0</v>
      </c>
      <c r="AB86" s="3"/>
      <c r="AC86" s="3">
        <v>0</v>
      </c>
      <c r="AD86" s="3"/>
      <c r="AE86" s="3" t="s">
        <v>167</v>
      </c>
      <c r="AF86" s="16"/>
      <c r="AG86" s="16" t="s">
        <v>168</v>
      </c>
      <c r="AH86" s="3"/>
      <c r="AI86" s="3">
        <v>0</v>
      </c>
      <c r="AJ86" s="3"/>
      <c r="AK86" s="3">
        <v>0</v>
      </c>
      <c r="AL86" s="3"/>
      <c r="AM86" s="3">
        <v>0</v>
      </c>
      <c r="AN86" s="3"/>
      <c r="AO86" s="3">
        <v>0</v>
      </c>
      <c r="AP86" s="3"/>
      <c r="AQ86" s="3">
        <v>0</v>
      </c>
      <c r="AR86" s="3"/>
      <c r="AS86" s="3">
        <v>0</v>
      </c>
      <c r="AT86" s="3"/>
      <c r="AU86" s="3">
        <f t="shared" si="15"/>
        <v>0</v>
      </c>
      <c r="AV86" s="3"/>
      <c r="AW86" s="3">
        <f t="shared" si="16"/>
        <v>1923665</v>
      </c>
      <c r="AZ86" s="3"/>
      <c r="BA86" s="3" t="str">
        <f t="shared" si="17"/>
        <v>Gallia-Vinton Educ Srv Ctr</v>
      </c>
      <c r="BB86" s="3" t="b">
        <f t="shared" si="18"/>
        <v>1</v>
      </c>
      <c r="BC86" s="3"/>
      <c r="BD86" s="3" t="str">
        <f>GenBS!A86</f>
        <v>Gallia-Vinton Educ Srv Ctr</v>
      </c>
      <c r="BE86" s="16" t="b">
        <f t="shared" si="19"/>
        <v>1</v>
      </c>
      <c r="BG86" s="3" t="str">
        <f t="shared" si="20"/>
        <v>Gallia</v>
      </c>
      <c r="BH86" s="16" t="b">
        <f t="shared" si="21"/>
        <v>1</v>
      </c>
      <c r="BJ86" s="16" t="b">
        <f>C86=GenBS!C86</f>
        <v>1</v>
      </c>
    </row>
    <row r="87" spans="1:62">
      <c r="A87" s="88" t="s">
        <v>384</v>
      </c>
      <c r="B87" s="16"/>
      <c r="C87" s="16" t="s">
        <v>169</v>
      </c>
      <c r="E87" s="16">
        <v>47159</v>
      </c>
      <c r="G87" s="3">
        <v>0</v>
      </c>
      <c r="H87" s="3"/>
      <c r="I87" s="3">
        <v>895307</v>
      </c>
      <c r="J87" s="3"/>
      <c r="K87" s="3">
        <v>3555</v>
      </c>
      <c r="L87" s="3"/>
      <c r="M87" s="3">
        <v>2562545</v>
      </c>
      <c r="N87" s="3"/>
      <c r="O87" s="3">
        <v>0</v>
      </c>
      <c r="P87" s="3"/>
      <c r="Q87" s="3">
        <v>0</v>
      </c>
      <c r="R87" s="3"/>
      <c r="S87" s="3">
        <v>36792</v>
      </c>
      <c r="T87" s="3"/>
      <c r="U87" s="3">
        <v>7338251</v>
      </c>
      <c r="V87" s="3"/>
      <c r="W87" s="8">
        <f t="shared" si="22"/>
        <v>10836450</v>
      </c>
      <c r="X87" s="3"/>
      <c r="Y87" s="3">
        <v>0</v>
      </c>
      <c r="Z87" s="3"/>
      <c r="AA87" s="3">
        <v>0</v>
      </c>
      <c r="AB87" s="3"/>
      <c r="AC87" s="3">
        <v>0</v>
      </c>
      <c r="AD87" s="3"/>
      <c r="AE87" s="88" t="s">
        <v>384</v>
      </c>
      <c r="AF87" s="16"/>
      <c r="AG87" s="16" t="s">
        <v>169</v>
      </c>
      <c r="AH87" s="3"/>
      <c r="AI87" s="3">
        <v>0</v>
      </c>
      <c r="AJ87" s="3"/>
      <c r="AK87" s="3">
        <v>0</v>
      </c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f t="shared" si="15"/>
        <v>0</v>
      </c>
      <c r="AV87" s="3"/>
      <c r="AW87" s="3">
        <f t="shared" si="16"/>
        <v>10836450</v>
      </c>
      <c r="AZ87" s="89"/>
      <c r="BA87" s="3" t="str">
        <f t="shared" si="17"/>
        <v>Geauga County Educ Srv Ctr</v>
      </c>
      <c r="BB87" s="3" t="b">
        <f t="shared" si="18"/>
        <v>1</v>
      </c>
      <c r="BC87" s="3"/>
      <c r="BD87" s="3" t="str">
        <f>GenBS!A87</f>
        <v>Geauga County Educ Srv Ctr</v>
      </c>
      <c r="BE87" s="16" t="b">
        <f t="shared" si="19"/>
        <v>1</v>
      </c>
      <c r="BG87" s="3" t="str">
        <f t="shared" si="20"/>
        <v>Geauga</v>
      </c>
      <c r="BH87" s="16" t="b">
        <f t="shared" si="21"/>
        <v>1</v>
      </c>
      <c r="BJ87" s="16" t="b">
        <f>C87=GenBS!C87</f>
        <v>1</v>
      </c>
    </row>
    <row r="88" spans="1:62">
      <c r="A88" s="16" t="s">
        <v>328</v>
      </c>
      <c r="B88" s="16"/>
      <c r="C88" s="16" t="s">
        <v>170</v>
      </c>
      <c r="E88" s="16">
        <v>47233</v>
      </c>
      <c r="G88" s="3">
        <v>0</v>
      </c>
      <c r="H88" s="3"/>
      <c r="I88" s="3">
        <v>2342906</v>
      </c>
      <c r="J88" s="3"/>
      <c r="K88" s="3">
        <v>454</v>
      </c>
      <c r="L88" s="3"/>
      <c r="M88" s="3">
        <v>10894394</v>
      </c>
      <c r="N88" s="3"/>
      <c r="O88" s="3">
        <v>0</v>
      </c>
      <c r="P88" s="3"/>
      <c r="Q88" s="3">
        <v>0</v>
      </c>
      <c r="R88" s="3"/>
      <c r="S88" s="3">
        <v>0</v>
      </c>
      <c r="T88" s="3"/>
      <c r="U88" s="3">
        <v>171779</v>
      </c>
      <c r="V88" s="3"/>
      <c r="W88" s="8">
        <f t="shared" si="22"/>
        <v>13409533</v>
      </c>
      <c r="X88" s="3"/>
      <c r="Y88" s="3">
        <v>0</v>
      </c>
      <c r="Z88" s="3"/>
      <c r="AA88" s="3">
        <v>0</v>
      </c>
      <c r="AB88" s="3"/>
      <c r="AC88" s="3">
        <v>0</v>
      </c>
      <c r="AD88" s="3"/>
      <c r="AE88" s="16" t="s">
        <v>328</v>
      </c>
      <c r="AF88" s="16"/>
      <c r="AG88" s="16" t="s">
        <v>170</v>
      </c>
      <c r="AH88" s="3"/>
      <c r="AI88" s="3">
        <v>0</v>
      </c>
      <c r="AJ88" s="3"/>
      <c r="AK88" s="3">
        <v>0</v>
      </c>
      <c r="AL88" s="3"/>
      <c r="AM88" s="3">
        <v>0</v>
      </c>
      <c r="AN88" s="3"/>
      <c r="AO88" s="3">
        <v>0</v>
      </c>
      <c r="AP88" s="3"/>
      <c r="AQ88" s="3">
        <v>0</v>
      </c>
      <c r="AR88" s="3"/>
      <c r="AS88" s="3">
        <v>0</v>
      </c>
      <c r="AT88" s="3"/>
      <c r="AU88" s="3">
        <f t="shared" si="15"/>
        <v>0</v>
      </c>
      <c r="AV88" s="3"/>
      <c r="AW88" s="3">
        <f t="shared" si="16"/>
        <v>13409533</v>
      </c>
      <c r="AZ88" s="3"/>
      <c r="BA88" s="3" t="str">
        <f t="shared" si="17"/>
        <v>Greene County Educ Srv Ctr</v>
      </c>
      <c r="BB88" s="3" t="b">
        <f t="shared" si="18"/>
        <v>1</v>
      </c>
      <c r="BC88" s="3"/>
      <c r="BD88" s="3" t="str">
        <f>GenBS!A88</f>
        <v>Greene County Educ Srv Ctr</v>
      </c>
      <c r="BE88" s="16" t="b">
        <f t="shared" si="19"/>
        <v>1</v>
      </c>
      <c r="BG88" s="3" t="str">
        <f t="shared" si="20"/>
        <v>Greene</v>
      </c>
      <c r="BH88" s="16" t="b">
        <f t="shared" si="21"/>
        <v>1</v>
      </c>
      <c r="BJ88" s="16" t="b">
        <f>C88=GenBS!C88</f>
        <v>1</v>
      </c>
    </row>
    <row r="89" spans="1:62">
      <c r="A89" s="16" t="s">
        <v>329</v>
      </c>
      <c r="B89" s="16"/>
      <c r="C89" s="16" t="s">
        <v>171</v>
      </c>
      <c r="E89" s="16">
        <v>47324</v>
      </c>
      <c r="G89" s="3">
        <v>0</v>
      </c>
      <c r="H89" s="3"/>
      <c r="I89" s="3">
        <v>3826074</v>
      </c>
      <c r="J89" s="3"/>
      <c r="K89" s="3">
        <v>76265</v>
      </c>
      <c r="L89" s="3"/>
      <c r="M89" s="3">
        <f>1755737+26022854</f>
        <v>27778591</v>
      </c>
      <c r="N89" s="3"/>
      <c r="O89" s="3">
        <v>0</v>
      </c>
      <c r="P89" s="3"/>
      <c r="Q89" s="3">
        <v>0</v>
      </c>
      <c r="R89" s="3"/>
      <c r="S89" s="3">
        <v>0</v>
      </c>
      <c r="T89" s="3"/>
      <c r="U89" s="3">
        <v>72316</v>
      </c>
      <c r="V89" s="3"/>
      <c r="W89" s="8">
        <f t="shared" si="22"/>
        <v>31753246</v>
      </c>
      <c r="X89" s="3"/>
      <c r="Y89" s="3">
        <v>0</v>
      </c>
      <c r="Z89" s="3"/>
      <c r="AA89" s="3">
        <v>0</v>
      </c>
      <c r="AB89" s="3"/>
      <c r="AC89" s="3">
        <v>0</v>
      </c>
      <c r="AD89" s="3"/>
      <c r="AE89" s="16" t="s">
        <v>329</v>
      </c>
      <c r="AF89" s="16"/>
      <c r="AG89" s="16" t="s">
        <v>171</v>
      </c>
      <c r="AH89" s="3"/>
      <c r="AI89" s="3">
        <v>0</v>
      </c>
      <c r="AJ89" s="3"/>
      <c r="AK89" s="3">
        <v>0</v>
      </c>
      <c r="AL89" s="3"/>
      <c r="AM89" s="3">
        <v>0</v>
      </c>
      <c r="AN89" s="3"/>
      <c r="AO89" s="3">
        <v>0</v>
      </c>
      <c r="AP89" s="3"/>
      <c r="AQ89" s="3">
        <v>0</v>
      </c>
      <c r="AR89" s="3"/>
      <c r="AS89" s="3">
        <v>0</v>
      </c>
      <c r="AT89" s="3"/>
      <c r="AU89" s="3">
        <f t="shared" si="15"/>
        <v>0</v>
      </c>
      <c r="AV89" s="3"/>
      <c r="AW89" s="3">
        <f t="shared" si="16"/>
        <v>31753246</v>
      </c>
      <c r="AZ89" s="3"/>
      <c r="BA89" s="3" t="str">
        <f t="shared" si="17"/>
        <v>Hamilton County Educ Srv Ctr</v>
      </c>
      <c r="BB89" s="3" t="b">
        <f t="shared" si="18"/>
        <v>1</v>
      </c>
      <c r="BC89" s="3"/>
      <c r="BD89" s="3" t="str">
        <f>GenBS!A89</f>
        <v>Hamilton County Educ Srv Ctr</v>
      </c>
      <c r="BE89" s="16" t="b">
        <f t="shared" si="19"/>
        <v>1</v>
      </c>
      <c r="BG89" s="3" t="str">
        <f t="shared" si="20"/>
        <v>Hamilton</v>
      </c>
      <c r="BH89" s="16" t="b">
        <f t="shared" si="21"/>
        <v>1</v>
      </c>
      <c r="BJ89" s="16" t="b">
        <f>C89=GenBS!C89</f>
        <v>1</v>
      </c>
    </row>
    <row r="90" spans="1:62">
      <c r="A90" s="16" t="s">
        <v>330</v>
      </c>
      <c r="B90" s="16"/>
      <c r="C90" s="16" t="s">
        <v>172</v>
      </c>
      <c r="E90" s="16">
        <v>47407</v>
      </c>
      <c r="G90" s="3">
        <v>0</v>
      </c>
      <c r="H90" s="3"/>
      <c r="I90" s="3">
        <v>853993</v>
      </c>
      <c r="J90" s="3"/>
      <c r="K90" s="3">
        <v>5130</v>
      </c>
      <c r="L90" s="3"/>
      <c r="M90" s="3">
        <f>2048819+2321450</f>
        <v>4370269</v>
      </c>
      <c r="N90" s="3"/>
      <c r="O90" s="3">
        <v>0</v>
      </c>
      <c r="P90" s="3"/>
      <c r="Q90" s="3">
        <v>0</v>
      </c>
      <c r="R90" s="3"/>
      <c r="S90" s="3">
        <v>0</v>
      </c>
      <c r="T90" s="3"/>
      <c r="U90" s="3">
        <v>35614</v>
      </c>
      <c r="V90" s="3"/>
      <c r="W90" s="8">
        <f t="shared" si="22"/>
        <v>5265006</v>
      </c>
      <c r="X90" s="3"/>
      <c r="Y90" s="3">
        <v>0</v>
      </c>
      <c r="Z90" s="3"/>
      <c r="AA90" s="3">
        <v>0</v>
      </c>
      <c r="AB90" s="3"/>
      <c r="AC90" s="3">
        <v>0</v>
      </c>
      <c r="AD90" s="3"/>
      <c r="AE90" s="16" t="s">
        <v>330</v>
      </c>
      <c r="AF90" s="16"/>
      <c r="AG90" s="16" t="s">
        <v>172</v>
      </c>
      <c r="AH90" s="3"/>
      <c r="AI90" s="3">
        <v>0</v>
      </c>
      <c r="AJ90" s="3"/>
      <c r="AK90" s="3">
        <v>0</v>
      </c>
      <c r="AL90" s="3"/>
      <c r="AM90" s="3">
        <v>0</v>
      </c>
      <c r="AN90" s="3"/>
      <c r="AO90" s="3">
        <v>0</v>
      </c>
      <c r="AP90" s="3"/>
      <c r="AQ90" s="3">
        <v>0</v>
      </c>
      <c r="AR90" s="3"/>
      <c r="AS90" s="3">
        <v>0</v>
      </c>
      <c r="AT90" s="3"/>
      <c r="AU90" s="3">
        <f t="shared" si="15"/>
        <v>0</v>
      </c>
      <c r="AV90" s="3"/>
      <c r="AW90" s="3">
        <f t="shared" si="16"/>
        <v>5265006</v>
      </c>
      <c r="AZ90" s="3"/>
      <c r="BA90" s="3" t="str">
        <f t="shared" si="17"/>
        <v>Hancock County Educ Srv Ctr</v>
      </c>
      <c r="BB90" s="3" t="b">
        <f t="shared" si="18"/>
        <v>1</v>
      </c>
      <c r="BC90" s="3"/>
      <c r="BD90" s="3" t="str">
        <f>GenBS!A90</f>
        <v>Hancock County Educ Srv Ctr</v>
      </c>
      <c r="BE90" s="16" t="b">
        <f t="shared" si="19"/>
        <v>1</v>
      </c>
      <c r="BG90" s="3" t="str">
        <f t="shared" si="20"/>
        <v>Hancock</v>
      </c>
      <c r="BH90" s="16" t="b">
        <f t="shared" si="21"/>
        <v>1</v>
      </c>
      <c r="BJ90" s="16" t="b">
        <f>C90=GenBS!C90</f>
        <v>1</v>
      </c>
    </row>
    <row r="91" spans="1:62">
      <c r="A91" s="16" t="s">
        <v>331</v>
      </c>
      <c r="B91" s="16"/>
      <c r="C91" s="16" t="s">
        <v>21</v>
      </c>
      <c r="E91" s="16">
        <v>47480</v>
      </c>
      <c r="G91" s="3">
        <v>0</v>
      </c>
      <c r="H91" s="3"/>
      <c r="I91" s="3">
        <v>507598</v>
      </c>
      <c r="J91" s="3"/>
      <c r="K91" s="3">
        <v>979</v>
      </c>
      <c r="L91" s="3"/>
      <c r="M91" s="3">
        <v>1513243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126722</v>
      </c>
      <c r="V91" s="3"/>
      <c r="W91" s="8">
        <f t="shared" si="22"/>
        <v>2148542</v>
      </c>
      <c r="X91" s="3"/>
      <c r="Y91" s="3">
        <v>0</v>
      </c>
      <c r="Z91" s="3"/>
      <c r="AA91" s="3">
        <v>0</v>
      </c>
      <c r="AB91" s="3"/>
      <c r="AC91" s="3">
        <v>0</v>
      </c>
      <c r="AD91" s="3"/>
      <c r="AE91" s="16" t="s">
        <v>331</v>
      </c>
      <c r="AF91" s="16"/>
      <c r="AG91" s="16" t="s">
        <v>21</v>
      </c>
      <c r="AH91" s="3"/>
      <c r="AI91" s="3">
        <v>0</v>
      </c>
      <c r="AJ91" s="3"/>
      <c r="AK91" s="3">
        <v>0</v>
      </c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v>0</v>
      </c>
      <c r="AT91" s="3"/>
      <c r="AU91" s="3">
        <f t="shared" si="15"/>
        <v>0</v>
      </c>
      <c r="AV91" s="3"/>
      <c r="AW91" s="3">
        <f t="shared" si="16"/>
        <v>2148542</v>
      </c>
      <c r="AZ91" s="3"/>
      <c r="BA91" s="3" t="str">
        <f t="shared" si="17"/>
        <v>Hardin County Educ Srv Ctr</v>
      </c>
      <c r="BB91" s="3" t="b">
        <f t="shared" si="18"/>
        <v>1</v>
      </c>
      <c r="BC91" s="3"/>
      <c r="BD91" s="3" t="str">
        <f>GenBS!A91</f>
        <v>Hardin County Educ Srv Ctr</v>
      </c>
      <c r="BE91" s="16" t="b">
        <f t="shared" si="19"/>
        <v>1</v>
      </c>
      <c r="BG91" s="3" t="str">
        <f t="shared" si="20"/>
        <v>Hardin</v>
      </c>
      <c r="BH91" s="16" t="b">
        <f t="shared" si="21"/>
        <v>1</v>
      </c>
      <c r="BJ91" s="16" t="b">
        <f>C91=GenBS!C91</f>
        <v>1</v>
      </c>
    </row>
    <row r="92" spans="1:62">
      <c r="A92" s="16" t="s">
        <v>332</v>
      </c>
      <c r="B92" s="16"/>
      <c r="C92" s="16" t="s">
        <v>173</v>
      </c>
      <c r="E92" s="16">
        <v>47779</v>
      </c>
      <c r="G92" s="3">
        <v>0</v>
      </c>
      <c r="H92" s="3"/>
      <c r="I92" s="3">
        <f>61315+773204</f>
        <v>834519</v>
      </c>
      <c r="J92" s="3"/>
      <c r="K92" s="3">
        <v>3327</v>
      </c>
      <c r="L92" s="3"/>
      <c r="M92" s="3">
        <f>4783647+736395</f>
        <v>5520042</v>
      </c>
      <c r="N92" s="3"/>
      <c r="O92" s="3">
        <v>0</v>
      </c>
      <c r="P92" s="3"/>
      <c r="Q92" s="3">
        <v>0</v>
      </c>
      <c r="R92" s="3"/>
      <c r="S92" s="3">
        <v>0</v>
      </c>
      <c r="T92" s="3"/>
      <c r="U92" s="3">
        <v>228436</v>
      </c>
      <c r="V92" s="3"/>
      <c r="W92" s="8">
        <f t="shared" si="22"/>
        <v>6586324</v>
      </c>
      <c r="X92" s="3"/>
      <c r="Y92" s="3">
        <v>45340</v>
      </c>
      <c r="Z92" s="3"/>
      <c r="AA92" s="3"/>
      <c r="AB92" s="3"/>
      <c r="AC92" s="3">
        <v>0</v>
      </c>
      <c r="AD92" s="3"/>
      <c r="AE92" s="16" t="s">
        <v>332</v>
      </c>
      <c r="AF92" s="16"/>
      <c r="AG92" s="16" t="s">
        <v>173</v>
      </c>
      <c r="AH92" s="3"/>
      <c r="AI92" s="3">
        <v>0</v>
      </c>
      <c r="AJ92" s="3"/>
      <c r="AK92" s="3">
        <v>0</v>
      </c>
      <c r="AL92" s="3"/>
      <c r="AM92" s="3">
        <v>0</v>
      </c>
      <c r="AN92" s="3"/>
      <c r="AO92" s="3">
        <v>0</v>
      </c>
      <c r="AP92" s="3"/>
      <c r="AQ92" s="3">
        <v>0</v>
      </c>
      <c r="AR92" s="3"/>
      <c r="AS92" s="3">
        <v>0</v>
      </c>
      <c r="AT92" s="3"/>
      <c r="AU92" s="3">
        <f t="shared" si="15"/>
        <v>45340</v>
      </c>
      <c r="AV92" s="3"/>
      <c r="AW92" s="3">
        <f t="shared" si="16"/>
        <v>6631664</v>
      </c>
      <c r="AZ92" s="3"/>
      <c r="BA92" s="3" t="str">
        <f t="shared" si="17"/>
        <v>Jefferson County Educ Srv Ctr</v>
      </c>
      <c r="BB92" s="3" t="b">
        <f t="shared" si="18"/>
        <v>1</v>
      </c>
      <c r="BC92" s="3"/>
      <c r="BD92" s="3" t="str">
        <f>GenBS!A92</f>
        <v>Jefferson County Educ Srv Ctr</v>
      </c>
      <c r="BE92" s="16" t="b">
        <f t="shared" si="19"/>
        <v>1</v>
      </c>
      <c r="BG92" s="3" t="str">
        <f t="shared" si="20"/>
        <v>Jefferson</v>
      </c>
      <c r="BH92" s="16" t="b">
        <f t="shared" si="21"/>
        <v>1</v>
      </c>
      <c r="BJ92" s="16" t="b">
        <f>C92=GenBS!C92</f>
        <v>1</v>
      </c>
    </row>
    <row r="93" spans="1:62">
      <c r="A93" s="16" t="s">
        <v>333</v>
      </c>
      <c r="B93" s="16"/>
      <c r="C93" s="16" t="s">
        <v>174</v>
      </c>
      <c r="E93" s="16">
        <v>47811</v>
      </c>
      <c r="G93" s="3">
        <v>0</v>
      </c>
      <c r="H93" s="3"/>
      <c r="I93" s="3">
        <v>814885</v>
      </c>
      <c r="J93" s="3"/>
      <c r="K93" s="3">
        <v>4593</v>
      </c>
      <c r="L93" s="3"/>
      <c r="M93" s="3">
        <f>239414+4458766</f>
        <v>4698180</v>
      </c>
      <c r="N93" s="3"/>
      <c r="O93" s="3">
        <v>0</v>
      </c>
      <c r="P93" s="3"/>
      <c r="Q93" s="3">
        <v>0</v>
      </c>
      <c r="R93" s="3"/>
      <c r="S93" s="3">
        <v>120</v>
      </c>
      <c r="T93" s="3"/>
      <c r="U93" s="3">
        <v>337</v>
      </c>
      <c r="V93" s="3"/>
      <c r="W93" s="8">
        <f t="shared" si="22"/>
        <v>5518115</v>
      </c>
      <c r="X93" s="3"/>
      <c r="Y93" s="3">
        <v>0</v>
      </c>
      <c r="Z93" s="3"/>
      <c r="AA93" s="3"/>
      <c r="AB93" s="3"/>
      <c r="AC93" s="3">
        <v>0</v>
      </c>
      <c r="AD93" s="3"/>
      <c r="AE93" s="16" t="s">
        <v>333</v>
      </c>
      <c r="AF93" s="16"/>
      <c r="AG93" s="16" t="s">
        <v>174</v>
      </c>
      <c r="AH93" s="3"/>
      <c r="AI93" s="3">
        <v>0</v>
      </c>
      <c r="AJ93" s="3"/>
      <c r="AK93" s="3">
        <v>0</v>
      </c>
      <c r="AL93" s="3"/>
      <c r="AM93" s="3">
        <v>0</v>
      </c>
      <c r="AN93" s="3"/>
      <c r="AO93" s="3">
        <v>0</v>
      </c>
      <c r="AP93" s="3"/>
      <c r="AQ93" s="3">
        <v>0</v>
      </c>
      <c r="AR93" s="3"/>
      <c r="AS93" s="3">
        <v>0</v>
      </c>
      <c r="AT93" s="3"/>
      <c r="AU93" s="3">
        <f t="shared" si="15"/>
        <v>0</v>
      </c>
      <c r="AV93" s="3"/>
      <c r="AW93" s="3">
        <f t="shared" si="16"/>
        <v>5518115</v>
      </c>
      <c r="AZ93" s="3"/>
      <c r="BA93" s="3" t="str">
        <f t="shared" si="17"/>
        <v>Knox County Educ Srv Ctr</v>
      </c>
      <c r="BB93" s="3" t="b">
        <f t="shared" si="18"/>
        <v>1</v>
      </c>
      <c r="BC93" s="3"/>
      <c r="BD93" s="3" t="str">
        <f>GenBS!A93</f>
        <v>Knox County Educ Srv Ctr</v>
      </c>
      <c r="BE93" s="16" t="b">
        <f t="shared" si="19"/>
        <v>1</v>
      </c>
      <c r="BG93" s="3" t="str">
        <f t="shared" si="20"/>
        <v>Knox</v>
      </c>
      <c r="BH93" s="16" t="b">
        <f t="shared" si="21"/>
        <v>1</v>
      </c>
      <c r="BJ93" s="16" t="b">
        <f>C93=GenBS!C93</f>
        <v>1</v>
      </c>
    </row>
    <row r="94" spans="1:62">
      <c r="A94" s="16" t="s">
        <v>334</v>
      </c>
      <c r="B94" s="16"/>
      <c r="C94" s="16" t="s">
        <v>149</v>
      </c>
      <c r="E94" s="16">
        <v>47860</v>
      </c>
      <c r="G94" s="3">
        <v>0</v>
      </c>
      <c r="H94" s="3"/>
      <c r="I94" s="3">
        <v>2130442</v>
      </c>
      <c r="J94" s="3"/>
      <c r="K94" s="3">
        <v>72</v>
      </c>
      <c r="L94" s="3"/>
      <c r="M94" s="3">
        <f>3347488+5119995</f>
        <v>8467483</v>
      </c>
      <c r="N94" s="3"/>
      <c r="O94" s="3">
        <v>76752</v>
      </c>
      <c r="P94" s="3"/>
      <c r="Q94" s="3">
        <v>0</v>
      </c>
      <c r="R94" s="3"/>
      <c r="S94" s="3">
        <v>0</v>
      </c>
      <c r="T94" s="3"/>
      <c r="U94" s="3">
        <v>352420</v>
      </c>
      <c r="V94" s="3"/>
      <c r="W94" s="8">
        <f t="shared" si="22"/>
        <v>11027169</v>
      </c>
      <c r="X94" s="3"/>
      <c r="Y94" s="3">
        <v>0</v>
      </c>
      <c r="Z94" s="3"/>
      <c r="AA94" s="3"/>
      <c r="AB94" s="3"/>
      <c r="AC94" s="3">
        <v>0</v>
      </c>
      <c r="AD94" s="3"/>
      <c r="AE94" s="16" t="s">
        <v>334</v>
      </c>
      <c r="AF94" s="16"/>
      <c r="AG94" s="16" t="s">
        <v>149</v>
      </c>
      <c r="AH94" s="3"/>
      <c r="AI94" s="3">
        <v>0</v>
      </c>
      <c r="AJ94" s="3"/>
      <c r="AK94" s="3">
        <v>0</v>
      </c>
      <c r="AL94" s="3"/>
      <c r="AM94" s="3">
        <v>0</v>
      </c>
      <c r="AN94" s="3"/>
      <c r="AO94" s="3">
        <v>0</v>
      </c>
      <c r="AP94" s="3"/>
      <c r="AQ94" s="3">
        <v>0</v>
      </c>
      <c r="AR94" s="3"/>
      <c r="AS94" s="3">
        <v>0</v>
      </c>
      <c r="AT94" s="3"/>
      <c r="AU94" s="3">
        <f t="shared" si="15"/>
        <v>0</v>
      </c>
      <c r="AV94" s="3"/>
      <c r="AW94" s="3">
        <f t="shared" si="16"/>
        <v>11027169</v>
      </c>
      <c r="AZ94" s="16" t="s">
        <v>387</v>
      </c>
      <c r="BA94" s="3" t="str">
        <f t="shared" si="17"/>
        <v>Lake County Educ Srv Ctr</v>
      </c>
      <c r="BB94" s="3" t="b">
        <f t="shared" si="18"/>
        <v>1</v>
      </c>
      <c r="BC94" s="3"/>
      <c r="BD94" s="3" t="str">
        <f>GenBS!A94</f>
        <v>Lake County Educ Srv Ctr</v>
      </c>
      <c r="BE94" s="16" t="b">
        <f t="shared" si="19"/>
        <v>1</v>
      </c>
      <c r="BG94" s="3" t="str">
        <f t="shared" si="20"/>
        <v>Lake</v>
      </c>
      <c r="BH94" s="16" t="b">
        <f t="shared" si="21"/>
        <v>1</v>
      </c>
      <c r="BJ94" s="16" t="b">
        <f>C94=GenBS!C94</f>
        <v>1</v>
      </c>
    </row>
    <row r="95" spans="1:62">
      <c r="A95" s="16" t="s">
        <v>335</v>
      </c>
      <c r="B95" s="16"/>
      <c r="C95" s="16" t="s">
        <v>175</v>
      </c>
      <c r="E95" s="16">
        <v>47910</v>
      </c>
      <c r="G95" s="3">
        <v>0</v>
      </c>
      <c r="H95" s="3"/>
      <c r="I95" s="3">
        <v>350424</v>
      </c>
      <c r="J95" s="3"/>
      <c r="K95" s="3">
        <v>0</v>
      </c>
      <c r="L95" s="3"/>
      <c r="M95" s="3">
        <f>666915+557248+810</f>
        <v>1224973</v>
      </c>
      <c r="N95" s="3"/>
      <c r="O95" s="3">
        <v>0</v>
      </c>
      <c r="P95" s="3"/>
      <c r="Q95" s="3">
        <v>0</v>
      </c>
      <c r="R95" s="3"/>
      <c r="S95" s="3">
        <v>0</v>
      </c>
      <c r="T95" s="3"/>
      <c r="U95" s="3">
        <v>45289</v>
      </c>
      <c r="V95" s="3"/>
      <c r="W95" s="8">
        <f t="shared" si="22"/>
        <v>1620686</v>
      </c>
      <c r="X95" s="3"/>
      <c r="Y95" s="3">
        <v>0</v>
      </c>
      <c r="Z95" s="3"/>
      <c r="AA95" s="3"/>
      <c r="AB95" s="3"/>
      <c r="AC95" s="3">
        <v>0</v>
      </c>
      <c r="AD95" s="3"/>
      <c r="AE95" s="16" t="s">
        <v>335</v>
      </c>
      <c r="AF95" s="16"/>
      <c r="AG95" s="16" t="s">
        <v>175</v>
      </c>
      <c r="AH95" s="3"/>
      <c r="AI95" s="3">
        <v>0</v>
      </c>
      <c r="AJ95" s="3"/>
      <c r="AK95" s="3">
        <v>0</v>
      </c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f t="shared" si="15"/>
        <v>0</v>
      </c>
      <c r="AV95" s="3"/>
      <c r="AW95" s="3">
        <f t="shared" si="16"/>
        <v>1620686</v>
      </c>
      <c r="AZ95" s="90" t="s">
        <v>320</v>
      </c>
      <c r="BA95" s="3" t="str">
        <f t="shared" si="17"/>
        <v>Lawrence County Educ Srv Ctr</v>
      </c>
      <c r="BB95" s="3" t="b">
        <f t="shared" si="18"/>
        <v>1</v>
      </c>
      <c r="BC95" s="3"/>
      <c r="BD95" s="3" t="str">
        <f>GenBS!A95</f>
        <v>Lawrence County Educ Srv Ctr</v>
      </c>
      <c r="BE95" s="16" t="b">
        <f t="shared" si="19"/>
        <v>1</v>
      </c>
      <c r="BG95" s="3" t="str">
        <f t="shared" si="20"/>
        <v>Lawrence</v>
      </c>
      <c r="BH95" s="16" t="b">
        <f t="shared" si="21"/>
        <v>1</v>
      </c>
      <c r="BJ95" s="16" t="b">
        <f>C95=GenBS!C95</f>
        <v>1</v>
      </c>
    </row>
    <row r="96" spans="1:62">
      <c r="A96" s="3" t="s">
        <v>336</v>
      </c>
      <c r="B96" s="3"/>
      <c r="C96" s="3" t="s">
        <v>176</v>
      </c>
      <c r="E96" s="16"/>
      <c r="G96" s="3">
        <v>0</v>
      </c>
      <c r="H96" s="3"/>
      <c r="I96" s="3">
        <v>1345645</v>
      </c>
      <c r="J96" s="3"/>
      <c r="K96" s="3">
        <v>2009</v>
      </c>
      <c r="L96" s="3"/>
      <c r="M96" s="3">
        <f>8455233+345994</f>
        <v>8801227</v>
      </c>
      <c r="N96" s="3"/>
      <c r="O96" s="3">
        <v>0</v>
      </c>
      <c r="P96" s="3"/>
      <c r="Q96" s="3">
        <v>0</v>
      </c>
      <c r="R96" s="3"/>
      <c r="S96" s="3">
        <v>33803</v>
      </c>
      <c r="T96" s="3"/>
      <c r="U96" s="3">
        <v>1741</v>
      </c>
      <c r="V96" s="3"/>
      <c r="W96" s="8">
        <f>SUM(G96:V96)</f>
        <v>10184425</v>
      </c>
      <c r="X96" s="3"/>
      <c r="Y96" s="3">
        <v>0</v>
      </c>
      <c r="Z96" s="3"/>
      <c r="AA96" s="3"/>
      <c r="AB96" s="3"/>
      <c r="AC96" s="3">
        <v>0</v>
      </c>
      <c r="AD96" s="3"/>
      <c r="AE96" s="3" t="s">
        <v>336</v>
      </c>
      <c r="AF96" s="3"/>
      <c r="AG96" s="3" t="s">
        <v>176</v>
      </c>
      <c r="AH96" s="3"/>
      <c r="AI96" s="3">
        <v>0</v>
      </c>
      <c r="AJ96" s="3"/>
      <c r="AK96" s="3">
        <v>53625</v>
      </c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f t="shared" si="15"/>
        <v>53625</v>
      </c>
      <c r="AV96" s="3"/>
      <c r="AW96" s="3">
        <f t="shared" si="16"/>
        <v>10238050</v>
      </c>
      <c r="AZ96" s="3"/>
      <c r="BA96" s="3" t="str">
        <f t="shared" si="17"/>
        <v>Licking County Educ Srv Ctr</v>
      </c>
      <c r="BB96" s="3" t="b">
        <f t="shared" si="18"/>
        <v>1</v>
      </c>
      <c r="BC96" s="3"/>
      <c r="BD96" s="3" t="str">
        <f>GenBS!A96</f>
        <v>Licking County Educ Srv Ctr</v>
      </c>
      <c r="BE96" s="16" t="b">
        <f t="shared" si="19"/>
        <v>1</v>
      </c>
      <c r="BG96" s="3" t="str">
        <f t="shared" si="20"/>
        <v>Licking</v>
      </c>
      <c r="BH96" s="16" t="b">
        <f t="shared" si="21"/>
        <v>1</v>
      </c>
      <c r="BJ96" s="16" t="b">
        <f>C96=GenBS!C96</f>
        <v>1</v>
      </c>
    </row>
    <row r="97" spans="1:62">
      <c r="A97" s="16" t="s">
        <v>337</v>
      </c>
      <c r="B97" s="16"/>
      <c r="C97" s="16" t="s">
        <v>177</v>
      </c>
      <c r="E97" s="16">
        <v>48058</v>
      </c>
      <c r="G97" s="3">
        <v>0</v>
      </c>
      <c r="H97" s="3"/>
      <c r="I97" s="3">
        <v>291233</v>
      </c>
      <c r="J97" s="3"/>
      <c r="K97" s="3">
        <v>397</v>
      </c>
      <c r="L97" s="3"/>
      <c r="M97" s="3">
        <f>1653382+633061</f>
        <v>2286443</v>
      </c>
      <c r="N97" s="3"/>
      <c r="O97" s="3">
        <v>0</v>
      </c>
      <c r="P97" s="3"/>
      <c r="Q97" s="3">
        <v>0</v>
      </c>
      <c r="R97" s="3"/>
      <c r="S97" s="3">
        <v>0</v>
      </c>
      <c r="T97" s="3"/>
      <c r="U97" s="3">
        <v>65099</v>
      </c>
      <c r="V97" s="3"/>
      <c r="W97" s="8">
        <f t="shared" si="22"/>
        <v>2643172</v>
      </c>
      <c r="X97" s="3"/>
      <c r="Y97" s="3">
        <v>0</v>
      </c>
      <c r="Z97" s="3"/>
      <c r="AA97" s="3"/>
      <c r="AB97" s="3"/>
      <c r="AC97" s="3">
        <v>0</v>
      </c>
      <c r="AD97" s="3"/>
      <c r="AE97" s="16" t="s">
        <v>337</v>
      </c>
      <c r="AF97" s="16"/>
      <c r="AG97" s="16" t="s">
        <v>177</v>
      </c>
      <c r="AH97" s="3"/>
      <c r="AI97" s="3">
        <v>0</v>
      </c>
      <c r="AJ97" s="3"/>
      <c r="AK97" s="3">
        <v>0</v>
      </c>
      <c r="AL97" s="3"/>
      <c r="AM97" s="3">
        <v>0</v>
      </c>
      <c r="AN97" s="3"/>
      <c r="AO97" s="3">
        <v>0</v>
      </c>
      <c r="AP97" s="3"/>
      <c r="AQ97" s="3">
        <v>0</v>
      </c>
      <c r="AR97" s="3"/>
      <c r="AS97" s="3">
        <v>0</v>
      </c>
      <c r="AT97" s="3"/>
      <c r="AU97" s="3">
        <f t="shared" si="15"/>
        <v>0</v>
      </c>
      <c r="AV97" s="3"/>
      <c r="AW97" s="3">
        <f t="shared" si="16"/>
        <v>2643172</v>
      </c>
      <c r="AZ97" s="90" t="s">
        <v>320</v>
      </c>
      <c r="BA97" s="3" t="str">
        <f t="shared" si="17"/>
        <v>Logan County Educ Srv Ctr</v>
      </c>
      <c r="BB97" s="3" t="b">
        <f t="shared" si="18"/>
        <v>1</v>
      </c>
      <c r="BC97" s="3"/>
      <c r="BD97" s="3" t="str">
        <f>GenBS!A97</f>
        <v>Logan County Educ Srv Ctr</v>
      </c>
      <c r="BE97" s="16" t="b">
        <f t="shared" si="19"/>
        <v>1</v>
      </c>
      <c r="BG97" s="3" t="str">
        <f t="shared" si="20"/>
        <v>Logan</v>
      </c>
      <c r="BH97" s="16" t="b">
        <f t="shared" si="21"/>
        <v>1</v>
      </c>
      <c r="BJ97" s="16" t="b">
        <f>C97=GenBS!C97</f>
        <v>1</v>
      </c>
    </row>
    <row r="98" spans="1:62" ht="12.6" customHeight="1">
      <c r="A98" s="16" t="s">
        <v>338</v>
      </c>
      <c r="B98" s="16"/>
      <c r="C98" s="16" t="s">
        <v>145</v>
      </c>
      <c r="E98" s="16">
        <v>48108</v>
      </c>
      <c r="G98" s="3">
        <v>0</v>
      </c>
      <c r="H98" s="3"/>
      <c r="I98" s="3">
        <v>2638124</v>
      </c>
      <c r="J98" s="3"/>
      <c r="K98" s="3">
        <v>61484</v>
      </c>
      <c r="L98" s="3"/>
      <c r="M98" s="3">
        <f>4344824+1614585</f>
        <v>5959409</v>
      </c>
      <c r="N98" s="3"/>
      <c r="O98" s="3">
        <v>0</v>
      </c>
      <c r="P98" s="3"/>
      <c r="Q98" s="3">
        <v>0</v>
      </c>
      <c r="R98" s="3"/>
      <c r="S98" s="3">
        <v>0</v>
      </c>
      <c r="T98" s="3"/>
      <c r="U98" s="3">
        <v>7521</v>
      </c>
      <c r="V98" s="3"/>
      <c r="W98" s="8">
        <f t="shared" si="22"/>
        <v>8666538</v>
      </c>
      <c r="X98" s="3"/>
      <c r="Y98" s="3">
        <v>0</v>
      </c>
      <c r="Z98" s="3"/>
      <c r="AA98" s="3"/>
      <c r="AB98" s="3"/>
      <c r="AC98" s="3">
        <v>0</v>
      </c>
      <c r="AD98" s="3"/>
      <c r="AE98" s="16" t="s">
        <v>338</v>
      </c>
      <c r="AF98" s="16"/>
      <c r="AG98" s="16" t="s">
        <v>145</v>
      </c>
      <c r="AH98" s="3"/>
      <c r="AI98" s="3">
        <v>0</v>
      </c>
      <c r="AJ98" s="3"/>
      <c r="AK98" s="3">
        <v>0</v>
      </c>
      <c r="AL98" s="3"/>
      <c r="AM98" s="3">
        <v>0</v>
      </c>
      <c r="AN98" s="3"/>
      <c r="AO98" s="3">
        <v>0</v>
      </c>
      <c r="AP98" s="3"/>
      <c r="AQ98" s="3">
        <v>0</v>
      </c>
      <c r="AR98" s="3"/>
      <c r="AS98" s="3">
        <v>0</v>
      </c>
      <c r="AT98" s="3"/>
      <c r="AU98" s="3">
        <f t="shared" si="15"/>
        <v>0</v>
      </c>
      <c r="AV98" s="3"/>
      <c r="AW98" s="3">
        <f t="shared" si="16"/>
        <v>8666538</v>
      </c>
      <c r="AZ98" s="16" t="s">
        <v>388</v>
      </c>
      <c r="BA98" s="3" t="str">
        <f t="shared" si="17"/>
        <v>Lorain County Educ Srv Ctr</v>
      </c>
      <c r="BB98" s="3" t="b">
        <f t="shared" si="18"/>
        <v>1</v>
      </c>
      <c r="BC98" s="3"/>
      <c r="BD98" s="3" t="str">
        <f>GenBS!A98</f>
        <v>Lorain County Educ Srv Ctr</v>
      </c>
      <c r="BE98" s="16" t="b">
        <f t="shared" si="19"/>
        <v>1</v>
      </c>
      <c r="BG98" s="3" t="str">
        <f t="shared" si="20"/>
        <v>Lorain</v>
      </c>
      <c r="BH98" s="16" t="b">
        <f t="shared" si="21"/>
        <v>1</v>
      </c>
      <c r="BJ98" s="16" t="b">
        <f>C98=GenBS!C98</f>
        <v>1</v>
      </c>
    </row>
    <row r="99" spans="1:62">
      <c r="A99" s="16" t="s">
        <v>339</v>
      </c>
      <c r="B99" s="16"/>
      <c r="C99" s="16" t="s">
        <v>178</v>
      </c>
      <c r="E99" s="16">
        <v>48199</v>
      </c>
      <c r="G99" s="3">
        <v>0</v>
      </c>
      <c r="H99" s="3"/>
      <c r="I99" s="3">
        <v>2791559</v>
      </c>
      <c r="J99" s="3"/>
      <c r="K99" s="3">
        <v>52601</v>
      </c>
      <c r="L99" s="3"/>
      <c r="M99" s="3">
        <f>7146052+15400+1114+6416654+88558</f>
        <v>13667778</v>
      </c>
      <c r="N99" s="3"/>
      <c r="O99" s="3">
        <v>0</v>
      </c>
      <c r="P99" s="3"/>
      <c r="Q99" s="3">
        <v>0</v>
      </c>
      <c r="R99" s="3"/>
      <c r="S99" s="3">
        <v>50</v>
      </c>
      <c r="T99" s="3"/>
      <c r="U99" s="3">
        <v>50060</v>
      </c>
      <c r="V99" s="3"/>
      <c r="W99" s="8">
        <f t="shared" si="22"/>
        <v>16562048</v>
      </c>
      <c r="X99" s="3"/>
      <c r="Y99" s="3">
        <v>0</v>
      </c>
      <c r="Z99" s="3"/>
      <c r="AA99" s="3"/>
      <c r="AB99" s="3"/>
      <c r="AC99" s="3">
        <v>0</v>
      </c>
      <c r="AD99" s="3"/>
      <c r="AE99" s="16" t="s">
        <v>339</v>
      </c>
      <c r="AF99" s="16"/>
      <c r="AG99" s="16" t="s">
        <v>178</v>
      </c>
      <c r="AH99" s="3"/>
      <c r="AI99" s="3">
        <v>0</v>
      </c>
      <c r="AJ99" s="3"/>
      <c r="AK99" s="3">
        <v>0</v>
      </c>
      <c r="AL99" s="3"/>
      <c r="AM99" s="3">
        <v>0</v>
      </c>
      <c r="AN99" s="3"/>
      <c r="AO99" s="3">
        <v>0</v>
      </c>
      <c r="AP99" s="3"/>
      <c r="AQ99" s="3">
        <v>0</v>
      </c>
      <c r="AR99" s="3"/>
      <c r="AS99" s="3">
        <v>0</v>
      </c>
      <c r="AT99" s="3"/>
      <c r="AU99" s="3">
        <f t="shared" si="15"/>
        <v>0</v>
      </c>
      <c r="AV99" s="3"/>
      <c r="AW99" s="3">
        <f t="shared" si="16"/>
        <v>16562048</v>
      </c>
      <c r="AZ99" s="3"/>
      <c r="BA99" s="3" t="str">
        <f t="shared" si="17"/>
        <v>Lucas County Educ Srv Ctr</v>
      </c>
      <c r="BB99" s="3" t="b">
        <f t="shared" si="18"/>
        <v>1</v>
      </c>
      <c r="BC99" s="3"/>
      <c r="BD99" s="3" t="str">
        <f>GenBS!A99</f>
        <v>Lucas County Educ Srv Ctr</v>
      </c>
      <c r="BE99" s="16" t="b">
        <f t="shared" si="19"/>
        <v>1</v>
      </c>
      <c r="BG99" s="3" t="str">
        <f t="shared" si="20"/>
        <v>Lucas</v>
      </c>
      <c r="BH99" s="16" t="b">
        <f t="shared" si="21"/>
        <v>1</v>
      </c>
      <c r="BJ99" s="16" t="b">
        <f>C99=GenBS!C99</f>
        <v>1</v>
      </c>
    </row>
    <row r="100" spans="1:62" s="72" customFormat="1" hidden="1">
      <c r="A100" s="65" t="s">
        <v>391</v>
      </c>
      <c r="B100" s="66"/>
      <c r="C100" s="66" t="s">
        <v>154</v>
      </c>
      <c r="E100" s="66">
        <v>137364</v>
      </c>
      <c r="G100" s="3">
        <v>0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3">
        <v>0</v>
      </c>
      <c r="R100" s="65"/>
      <c r="S100" s="65"/>
      <c r="T100" s="65"/>
      <c r="U100" s="65"/>
      <c r="V100" s="65"/>
      <c r="W100" s="70">
        <f t="shared" si="22"/>
        <v>0</v>
      </c>
      <c r="X100" s="65"/>
      <c r="Y100" s="3">
        <v>0</v>
      </c>
      <c r="Z100" s="65"/>
      <c r="AA100" s="65"/>
      <c r="AB100" s="65"/>
      <c r="AC100" s="3">
        <v>0</v>
      </c>
      <c r="AD100" s="65"/>
      <c r="AE100" s="65" t="s">
        <v>391</v>
      </c>
      <c r="AF100" s="66"/>
      <c r="AG100" s="66" t="s">
        <v>154</v>
      </c>
      <c r="AH100" s="65"/>
      <c r="AI100" s="3">
        <v>0</v>
      </c>
      <c r="AJ100" s="65"/>
      <c r="AK100" s="65"/>
      <c r="AL100" s="65"/>
      <c r="AM100" s="3">
        <v>0</v>
      </c>
      <c r="AN100" s="65"/>
      <c r="AO100" s="3">
        <v>0</v>
      </c>
      <c r="AP100" s="65"/>
      <c r="AQ100" s="3">
        <v>0</v>
      </c>
      <c r="AR100" s="65"/>
      <c r="AS100" s="3">
        <v>0</v>
      </c>
      <c r="AT100" s="65"/>
      <c r="AU100" s="65">
        <f t="shared" si="15"/>
        <v>0</v>
      </c>
      <c r="AV100" s="65"/>
      <c r="AW100" s="65">
        <f t="shared" si="16"/>
        <v>0</v>
      </c>
      <c r="AZ100" s="65" t="s">
        <v>390</v>
      </c>
      <c r="BA100" s="65" t="str">
        <f t="shared" si="17"/>
        <v>Madison-Champaign Educ Srv Ctr (CASH)</v>
      </c>
      <c r="BB100" s="65" t="b">
        <f t="shared" si="18"/>
        <v>1</v>
      </c>
      <c r="BC100" s="65"/>
      <c r="BD100" s="65" t="str">
        <f>GenBS!A100</f>
        <v>Madison-Champaign Educ Srv Ctr (CASH)</v>
      </c>
      <c r="BE100" s="66" t="b">
        <f t="shared" si="19"/>
        <v>1</v>
      </c>
      <c r="BG100" s="65" t="str">
        <f t="shared" si="20"/>
        <v>Champaign</v>
      </c>
      <c r="BH100" s="66" t="b">
        <f t="shared" si="21"/>
        <v>1</v>
      </c>
      <c r="BJ100" s="66" t="b">
        <f>C100=GenBS!C100</f>
        <v>1</v>
      </c>
    </row>
    <row r="101" spans="1:62">
      <c r="A101" s="3" t="s">
        <v>392</v>
      </c>
      <c r="B101" s="16"/>
      <c r="C101" s="16" t="s">
        <v>179</v>
      </c>
      <c r="E101" s="16">
        <v>48280</v>
      </c>
      <c r="G101" s="3">
        <v>0</v>
      </c>
      <c r="H101" s="3"/>
      <c r="I101" s="3">
        <f>1882357+144837</f>
        <v>2027194</v>
      </c>
      <c r="J101" s="3"/>
      <c r="K101" s="3">
        <v>19830</v>
      </c>
      <c r="L101" s="3"/>
      <c r="M101" s="3">
        <f>11604081+3386095</f>
        <v>14990176</v>
      </c>
      <c r="N101" s="3"/>
      <c r="O101" s="3">
        <v>0</v>
      </c>
      <c r="P101" s="3"/>
      <c r="Q101" s="3">
        <v>0</v>
      </c>
      <c r="R101" s="3"/>
      <c r="S101" s="3">
        <v>0</v>
      </c>
      <c r="T101" s="3"/>
      <c r="U101" s="3">
        <v>29325</v>
      </c>
      <c r="V101" s="3"/>
      <c r="W101" s="8">
        <f t="shared" si="22"/>
        <v>17066525</v>
      </c>
      <c r="X101" s="3"/>
      <c r="Y101" s="3">
        <v>0</v>
      </c>
      <c r="Z101" s="3"/>
      <c r="AA101" s="3"/>
      <c r="AB101" s="3"/>
      <c r="AC101" s="3">
        <v>0</v>
      </c>
      <c r="AD101" s="3"/>
      <c r="AE101" s="3" t="s">
        <v>392</v>
      </c>
      <c r="AF101" s="16"/>
      <c r="AG101" s="16" t="s">
        <v>179</v>
      </c>
      <c r="AH101" s="3"/>
      <c r="AI101" s="3">
        <v>0</v>
      </c>
      <c r="AJ101" s="3"/>
      <c r="AK101" s="3">
        <v>0</v>
      </c>
      <c r="AL101" s="3"/>
      <c r="AM101" s="3">
        <v>0</v>
      </c>
      <c r="AN101" s="3"/>
      <c r="AO101" s="3">
        <v>0</v>
      </c>
      <c r="AP101" s="3"/>
      <c r="AQ101" s="3">
        <v>0</v>
      </c>
      <c r="AR101" s="3"/>
      <c r="AS101" s="3">
        <v>0</v>
      </c>
      <c r="AT101" s="3"/>
      <c r="AU101" s="3">
        <f t="shared" si="15"/>
        <v>0</v>
      </c>
      <c r="AV101" s="3"/>
      <c r="AW101" s="3">
        <f t="shared" ref="AW101:AW130" si="23">+AU101+W101</f>
        <v>17066525</v>
      </c>
      <c r="AZ101" s="3"/>
      <c r="BA101" s="3" t="str">
        <f t="shared" ref="BA101:BA130" si="24">A101</f>
        <v>Mahoning County Educ Srv Ctr</v>
      </c>
      <c r="BB101" s="3" t="b">
        <f t="shared" ref="BB101:BB130" si="25">A101=AE101</f>
        <v>1</v>
      </c>
      <c r="BC101" s="3"/>
      <c r="BD101" s="3" t="str">
        <f>GenBS!A101</f>
        <v>Mahoning County Educ Srv Ctr</v>
      </c>
      <c r="BE101" s="16" t="b">
        <f t="shared" ref="BE101:BE130" si="26">BA101=BD101</f>
        <v>1</v>
      </c>
      <c r="BG101" s="3" t="str">
        <f t="shared" ref="BG101:BG130" si="27">C101</f>
        <v>Mahoning</v>
      </c>
      <c r="BH101" s="16" t="b">
        <f t="shared" ref="BH101:BH130" si="28">C101=AG101</f>
        <v>1</v>
      </c>
      <c r="BJ101" s="16" t="b">
        <f>C101=GenBS!C101</f>
        <v>1</v>
      </c>
    </row>
    <row r="102" spans="1:62">
      <c r="A102" s="3" t="s">
        <v>180</v>
      </c>
      <c r="B102" s="16"/>
      <c r="C102" s="16" t="s">
        <v>181</v>
      </c>
      <c r="E102" s="16">
        <v>48454</v>
      </c>
      <c r="G102" s="3">
        <v>0</v>
      </c>
      <c r="H102" s="3"/>
      <c r="I102" s="3">
        <v>1582792</v>
      </c>
      <c r="J102" s="3"/>
      <c r="K102" s="3">
        <v>21803</v>
      </c>
      <c r="L102" s="3"/>
      <c r="M102" s="3">
        <f>73511+5011665</f>
        <v>5085176</v>
      </c>
      <c r="N102" s="3"/>
      <c r="O102" s="3">
        <v>0</v>
      </c>
      <c r="P102" s="3"/>
      <c r="Q102" s="3">
        <v>0</v>
      </c>
      <c r="R102" s="3"/>
      <c r="S102" s="3">
        <v>545</v>
      </c>
      <c r="T102" s="3"/>
      <c r="U102" s="3">
        <v>0</v>
      </c>
      <c r="V102" s="3"/>
      <c r="W102" s="8">
        <f t="shared" si="22"/>
        <v>6690316</v>
      </c>
      <c r="X102" s="3"/>
      <c r="Y102" s="3">
        <v>0</v>
      </c>
      <c r="Z102" s="3"/>
      <c r="AA102" s="3"/>
      <c r="AB102" s="3"/>
      <c r="AC102" s="3">
        <v>0</v>
      </c>
      <c r="AD102" s="3"/>
      <c r="AE102" s="3" t="s">
        <v>180</v>
      </c>
      <c r="AF102" s="16"/>
      <c r="AG102" s="16" t="s">
        <v>181</v>
      </c>
      <c r="AH102" s="3"/>
      <c r="AI102" s="3">
        <v>0</v>
      </c>
      <c r="AJ102" s="3"/>
      <c r="AK102" s="3">
        <v>0</v>
      </c>
      <c r="AL102" s="3"/>
      <c r="AM102" s="3">
        <v>0</v>
      </c>
      <c r="AN102" s="3"/>
      <c r="AO102" s="3">
        <v>0</v>
      </c>
      <c r="AP102" s="3"/>
      <c r="AQ102" s="3">
        <v>0</v>
      </c>
      <c r="AR102" s="3"/>
      <c r="AS102" s="3">
        <v>0</v>
      </c>
      <c r="AT102" s="3"/>
      <c r="AU102" s="3">
        <f t="shared" si="15"/>
        <v>0</v>
      </c>
      <c r="AV102" s="3"/>
      <c r="AW102" s="3">
        <f t="shared" si="23"/>
        <v>6690316</v>
      </c>
      <c r="AZ102" s="3"/>
      <c r="BA102" s="3" t="str">
        <f t="shared" si="24"/>
        <v>Medina County Educ Srv Ctr</v>
      </c>
      <c r="BB102" s="3" t="b">
        <f t="shared" si="25"/>
        <v>1</v>
      </c>
      <c r="BC102" s="3"/>
      <c r="BD102" s="3" t="str">
        <f>GenBS!A102</f>
        <v>Medina County Educ Srv Ctr</v>
      </c>
      <c r="BE102" s="16" t="b">
        <f t="shared" si="26"/>
        <v>1</v>
      </c>
      <c r="BG102" s="3" t="str">
        <f t="shared" si="27"/>
        <v>Medina</v>
      </c>
      <c r="BH102" s="16" t="b">
        <f t="shared" si="28"/>
        <v>1</v>
      </c>
      <c r="BJ102" s="16" t="b">
        <f>C102=GenBS!C102</f>
        <v>1</v>
      </c>
    </row>
    <row r="103" spans="1:62" s="72" customFormat="1" hidden="1">
      <c r="A103" s="65" t="s">
        <v>394</v>
      </c>
      <c r="B103" s="66"/>
      <c r="C103" s="66" t="s">
        <v>182</v>
      </c>
      <c r="E103" s="66">
        <v>48546</v>
      </c>
      <c r="G103" s="3">
        <v>0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3">
        <v>0</v>
      </c>
      <c r="R103" s="65"/>
      <c r="S103" s="65"/>
      <c r="T103" s="65"/>
      <c r="U103" s="65"/>
      <c r="V103" s="65"/>
      <c r="W103" s="70">
        <f t="shared" si="22"/>
        <v>0</v>
      </c>
      <c r="X103" s="65"/>
      <c r="Y103" s="3">
        <v>0</v>
      </c>
      <c r="Z103" s="65"/>
      <c r="AA103" s="65"/>
      <c r="AB103" s="65"/>
      <c r="AC103" s="3">
        <v>0</v>
      </c>
      <c r="AD103" s="65"/>
      <c r="AE103" s="65" t="s">
        <v>394</v>
      </c>
      <c r="AF103" s="66"/>
      <c r="AG103" s="66" t="s">
        <v>182</v>
      </c>
      <c r="AH103" s="65"/>
      <c r="AI103" s="3">
        <v>0</v>
      </c>
      <c r="AJ103" s="65"/>
      <c r="AK103" s="65"/>
      <c r="AL103" s="65"/>
      <c r="AM103" s="3">
        <v>0</v>
      </c>
      <c r="AN103" s="65"/>
      <c r="AO103" s="3">
        <v>0</v>
      </c>
      <c r="AP103" s="65"/>
      <c r="AQ103" s="3">
        <v>0</v>
      </c>
      <c r="AR103" s="65"/>
      <c r="AS103" s="3">
        <v>0</v>
      </c>
      <c r="AT103" s="65"/>
      <c r="AU103" s="65">
        <f t="shared" si="15"/>
        <v>0</v>
      </c>
      <c r="AV103" s="65"/>
      <c r="AW103" s="65">
        <f t="shared" si="23"/>
        <v>0</v>
      </c>
      <c r="AZ103" s="80" t="s">
        <v>393</v>
      </c>
      <c r="BA103" s="65" t="str">
        <f t="shared" si="24"/>
        <v>Mercer County Educ Srv Ctr (CASH)</v>
      </c>
      <c r="BB103" s="65" t="b">
        <f t="shared" si="25"/>
        <v>1</v>
      </c>
      <c r="BC103" s="65"/>
      <c r="BD103" s="65" t="str">
        <f>GenBS!A103</f>
        <v>Mercer County Educ Srv Ctr (CASH)</v>
      </c>
      <c r="BE103" s="66" t="b">
        <f t="shared" si="26"/>
        <v>1</v>
      </c>
      <c r="BG103" s="65" t="str">
        <f t="shared" si="27"/>
        <v>Mercer</v>
      </c>
      <c r="BH103" s="66" t="b">
        <f t="shared" si="28"/>
        <v>1</v>
      </c>
      <c r="BJ103" s="66" t="b">
        <f>C103=GenBS!C103</f>
        <v>1</v>
      </c>
    </row>
    <row r="104" spans="1:62">
      <c r="A104" s="3" t="s">
        <v>395</v>
      </c>
      <c r="B104" s="16"/>
      <c r="C104" s="16" t="s">
        <v>183</v>
      </c>
      <c r="E104" s="16">
        <v>48603</v>
      </c>
      <c r="G104" s="3">
        <v>0</v>
      </c>
      <c r="H104" s="3"/>
      <c r="I104" s="3">
        <v>1251242</v>
      </c>
      <c r="J104" s="3"/>
      <c r="K104" s="3">
        <v>5580</v>
      </c>
      <c r="L104" s="3"/>
      <c r="M104" s="3">
        <f>10225479+26235</f>
        <v>10251714</v>
      </c>
      <c r="N104" s="3"/>
      <c r="O104" s="3">
        <v>0</v>
      </c>
      <c r="P104" s="3"/>
      <c r="Q104" s="3">
        <v>0</v>
      </c>
      <c r="R104" s="3"/>
      <c r="S104" s="3">
        <v>2995</v>
      </c>
      <c r="T104" s="3"/>
      <c r="U104" s="3">
        <v>69619</v>
      </c>
      <c r="V104" s="3"/>
      <c r="W104" s="8">
        <f t="shared" si="22"/>
        <v>11581150</v>
      </c>
      <c r="X104" s="3"/>
      <c r="Y104" s="3">
        <v>0</v>
      </c>
      <c r="Z104" s="3"/>
      <c r="AA104" s="3"/>
      <c r="AB104" s="3"/>
      <c r="AC104" s="3">
        <v>0</v>
      </c>
      <c r="AD104" s="3"/>
      <c r="AE104" s="3" t="s">
        <v>395</v>
      </c>
      <c r="AF104" s="16"/>
      <c r="AG104" s="16" t="s">
        <v>183</v>
      </c>
      <c r="AH104" s="3"/>
      <c r="AI104" s="3">
        <v>0</v>
      </c>
      <c r="AJ104" s="3"/>
      <c r="AK104" s="3">
        <v>40250</v>
      </c>
      <c r="AL104" s="3"/>
      <c r="AM104" s="3">
        <v>0</v>
      </c>
      <c r="AN104" s="3"/>
      <c r="AO104" s="3">
        <v>0</v>
      </c>
      <c r="AP104" s="3"/>
      <c r="AQ104" s="3">
        <v>0</v>
      </c>
      <c r="AR104" s="3"/>
      <c r="AS104" s="3">
        <v>0</v>
      </c>
      <c r="AT104" s="3"/>
      <c r="AU104" s="3">
        <f t="shared" si="15"/>
        <v>40250</v>
      </c>
      <c r="AV104" s="3"/>
      <c r="AW104" s="3">
        <f t="shared" si="23"/>
        <v>11621400</v>
      </c>
      <c r="AZ104" s="3"/>
      <c r="BA104" s="3" t="str">
        <f t="shared" si="24"/>
        <v>Miami County Educ Srv Ctr</v>
      </c>
      <c r="BB104" s="3" t="b">
        <f t="shared" si="25"/>
        <v>1</v>
      </c>
      <c r="BC104" s="3"/>
      <c r="BD104" s="3" t="str">
        <f>GenBS!A104</f>
        <v>Miami County Educ Srv Ctr</v>
      </c>
      <c r="BE104" s="16" t="b">
        <f t="shared" si="26"/>
        <v>1</v>
      </c>
      <c r="BG104" s="3" t="str">
        <f t="shared" si="27"/>
        <v>Miami</v>
      </c>
      <c r="BH104" s="16" t="b">
        <f t="shared" si="28"/>
        <v>1</v>
      </c>
      <c r="BJ104" s="16" t="b">
        <f>C104=GenBS!C104</f>
        <v>1</v>
      </c>
    </row>
    <row r="105" spans="1:62" s="72" customFormat="1" hidden="1">
      <c r="A105" s="65" t="s">
        <v>293</v>
      </c>
      <c r="B105" s="65"/>
      <c r="C105" s="65" t="s">
        <v>193</v>
      </c>
      <c r="E105" s="66"/>
      <c r="G105" s="3">
        <v>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3">
        <v>0</v>
      </c>
      <c r="R105" s="65"/>
      <c r="S105" s="65"/>
      <c r="T105" s="65"/>
      <c r="U105" s="65"/>
      <c r="V105" s="65"/>
      <c r="W105" s="70">
        <f>SUM(G105:V105)</f>
        <v>0</v>
      </c>
      <c r="X105" s="65"/>
      <c r="Y105" s="3">
        <v>0</v>
      </c>
      <c r="Z105" s="65"/>
      <c r="AA105" s="65"/>
      <c r="AB105" s="65"/>
      <c r="AC105" s="3">
        <v>0</v>
      </c>
      <c r="AD105" s="65"/>
      <c r="AE105" s="65" t="s">
        <v>293</v>
      </c>
      <c r="AF105" s="65"/>
      <c r="AG105" s="65" t="s">
        <v>193</v>
      </c>
      <c r="AH105" s="65"/>
      <c r="AI105" s="3">
        <v>0</v>
      </c>
      <c r="AJ105" s="65"/>
      <c r="AK105" s="65"/>
      <c r="AL105" s="65"/>
      <c r="AM105" s="3">
        <v>0</v>
      </c>
      <c r="AN105" s="65"/>
      <c r="AO105" s="3">
        <v>0</v>
      </c>
      <c r="AP105" s="65"/>
      <c r="AQ105" s="3">
        <v>0</v>
      </c>
      <c r="AR105" s="65"/>
      <c r="AS105" s="3">
        <v>0</v>
      </c>
      <c r="AT105" s="65"/>
      <c r="AU105" s="65">
        <f t="shared" si="15"/>
        <v>0</v>
      </c>
      <c r="AV105" s="65"/>
      <c r="AW105" s="65">
        <f t="shared" si="23"/>
        <v>0</v>
      </c>
      <c r="AZ105" s="80" t="s">
        <v>393</v>
      </c>
      <c r="BA105" s="65" t="str">
        <f t="shared" si="24"/>
        <v>Mid-Ohio Educ Srv Ctr  (CASH)</v>
      </c>
      <c r="BB105" s="65" t="b">
        <f t="shared" si="25"/>
        <v>1</v>
      </c>
      <c r="BC105" s="65"/>
      <c r="BD105" s="65" t="str">
        <f>GenBS!A105</f>
        <v>Mid-Ohio Educ Srv Ctr  (CASH)</v>
      </c>
      <c r="BE105" s="66" t="b">
        <f t="shared" si="26"/>
        <v>1</v>
      </c>
      <c r="BG105" s="65" t="str">
        <f t="shared" si="27"/>
        <v>Richland</v>
      </c>
      <c r="BH105" s="66" t="b">
        <f t="shared" si="28"/>
        <v>1</v>
      </c>
      <c r="BJ105" s="66" t="b">
        <f>C105=GenBS!C105</f>
        <v>1</v>
      </c>
    </row>
    <row r="106" spans="1:62">
      <c r="A106" s="3" t="s">
        <v>398</v>
      </c>
      <c r="B106" s="16"/>
      <c r="C106" s="16" t="s">
        <v>184</v>
      </c>
      <c r="E106" s="16">
        <v>48660</v>
      </c>
      <c r="G106" s="3">
        <v>0</v>
      </c>
      <c r="H106" s="3"/>
      <c r="I106" s="3">
        <v>2127654</v>
      </c>
      <c r="J106" s="3"/>
      <c r="K106" s="3">
        <v>27163</v>
      </c>
      <c r="L106" s="3"/>
      <c r="M106" s="3">
        <f>17456291+246070+6643600</f>
        <v>24345961</v>
      </c>
      <c r="N106" s="3"/>
      <c r="O106" s="3">
        <v>0</v>
      </c>
      <c r="P106" s="3"/>
      <c r="Q106" s="3">
        <v>0</v>
      </c>
      <c r="R106" s="3"/>
      <c r="S106" s="3">
        <v>14000</v>
      </c>
      <c r="T106" s="3"/>
      <c r="U106" s="3">
        <v>66775</v>
      </c>
      <c r="V106" s="3"/>
      <c r="W106" s="8">
        <f t="shared" si="22"/>
        <v>26581553</v>
      </c>
      <c r="X106" s="3"/>
      <c r="Y106" s="3">
        <v>0</v>
      </c>
      <c r="Z106" s="3"/>
      <c r="AA106" s="3"/>
      <c r="AB106" s="3"/>
      <c r="AC106" s="3">
        <v>0</v>
      </c>
      <c r="AD106" s="3"/>
      <c r="AE106" s="3" t="s">
        <v>398</v>
      </c>
      <c r="AF106" s="16"/>
      <c r="AG106" s="16" t="s">
        <v>184</v>
      </c>
      <c r="AH106" s="3"/>
      <c r="AI106" s="3">
        <v>0</v>
      </c>
      <c r="AJ106" s="3"/>
      <c r="AK106" s="3">
        <v>0</v>
      </c>
      <c r="AL106" s="3"/>
      <c r="AM106" s="3">
        <v>0</v>
      </c>
      <c r="AN106" s="3"/>
      <c r="AO106" s="3">
        <v>0</v>
      </c>
      <c r="AP106" s="3"/>
      <c r="AQ106" s="3">
        <v>0</v>
      </c>
      <c r="AR106" s="3"/>
      <c r="AS106" s="3">
        <v>0</v>
      </c>
      <c r="AT106" s="3"/>
      <c r="AU106" s="3">
        <f t="shared" si="15"/>
        <v>0</v>
      </c>
      <c r="AV106" s="3"/>
      <c r="AW106" s="3">
        <f t="shared" si="23"/>
        <v>26581553</v>
      </c>
      <c r="AZ106" s="3"/>
      <c r="BA106" s="3" t="str">
        <f t="shared" si="24"/>
        <v>Montgomery County Educ Srv Ctr</v>
      </c>
      <c r="BB106" s="3" t="b">
        <f t="shared" si="25"/>
        <v>1</v>
      </c>
      <c r="BC106" s="3"/>
      <c r="BD106" s="3" t="str">
        <f>GenBS!A106</f>
        <v>Montgomery County Educ Srv Ctr</v>
      </c>
      <c r="BE106" s="16" t="b">
        <f t="shared" si="26"/>
        <v>1</v>
      </c>
      <c r="BG106" s="3" t="str">
        <f t="shared" si="27"/>
        <v>Montgomery</v>
      </c>
      <c r="BH106" s="16" t="b">
        <f t="shared" si="28"/>
        <v>1</v>
      </c>
      <c r="BJ106" s="16" t="b">
        <f>C106=GenBS!C106</f>
        <v>1</v>
      </c>
    </row>
    <row r="107" spans="1:62">
      <c r="A107" s="3" t="s">
        <v>185</v>
      </c>
      <c r="B107" s="16"/>
      <c r="C107" s="16" t="s">
        <v>186</v>
      </c>
      <c r="E107" s="16">
        <v>125252</v>
      </c>
      <c r="G107" s="3">
        <v>0</v>
      </c>
      <c r="H107" s="3"/>
      <c r="I107" s="3">
        <v>1369513</v>
      </c>
      <c r="J107" s="3"/>
      <c r="K107" s="3">
        <v>30402</v>
      </c>
      <c r="L107" s="3"/>
      <c r="M107" s="3">
        <f>3207230+4336930</f>
        <v>7544160</v>
      </c>
      <c r="N107" s="3"/>
      <c r="O107" s="3">
        <v>17697</v>
      </c>
      <c r="P107" s="3"/>
      <c r="Q107" s="3">
        <v>0</v>
      </c>
      <c r="R107" s="3"/>
      <c r="S107" s="3">
        <v>0</v>
      </c>
      <c r="T107" s="3"/>
      <c r="U107" s="3">
        <v>0</v>
      </c>
      <c r="V107" s="3"/>
      <c r="W107" s="8">
        <f t="shared" si="22"/>
        <v>8961772</v>
      </c>
      <c r="X107" s="3"/>
      <c r="Y107" s="3">
        <v>0</v>
      </c>
      <c r="Z107" s="3"/>
      <c r="AA107" s="3"/>
      <c r="AB107" s="3"/>
      <c r="AC107" s="3">
        <v>0</v>
      </c>
      <c r="AD107" s="3"/>
      <c r="AE107" s="3" t="s">
        <v>185</v>
      </c>
      <c r="AF107" s="16"/>
      <c r="AG107" s="16" t="s">
        <v>186</v>
      </c>
      <c r="AH107" s="3"/>
      <c r="AI107" s="3">
        <v>0</v>
      </c>
      <c r="AJ107" s="3"/>
      <c r="AK107" s="3">
        <v>0</v>
      </c>
      <c r="AL107" s="3"/>
      <c r="AM107" s="3">
        <v>0</v>
      </c>
      <c r="AN107" s="3"/>
      <c r="AO107" s="3">
        <v>0</v>
      </c>
      <c r="AP107" s="3"/>
      <c r="AQ107" s="3">
        <v>0</v>
      </c>
      <c r="AR107" s="3"/>
      <c r="AS107" s="3">
        <v>0</v>
      </c>
      <c r="AT107" s="3"/>
      <c r="AU107" s="3">
        <f t="shared" si="15"/>
        <v>0</v>
      </c>
      <c r="AV107" s="3"/>
      <c r="AW107" s="3">
        <f t="shared" si="23"/>
        <v>8961772</v>
      </c>
      <c r="AZ107" s="3"/>
      <c r="BA107" s="3" t="str">
        <f t="shared" si="24"/>
        <v>Muskingum Valley Educ Srv Ctr</v>
      </c>
      <c r="BB107" s="3" t="b">
        <f t="shared" si="25"/>
        <v>1</v>
      </c>
      <c r="BC107" s="3"/>
      <c r="BD107" s="3" t="str">
        <f>GenBS!A107</f>
        <v>Muskingum Valley Educ Srv Ctr</v>
      </c>
      <c r="BE107" s="16" t="b">
        <f t="shared" si="26"/>
        <v>1</v>
      </c>
      <c r="BG107" s="3" t="str">
        <f t="shared" si="27"/>
        <v>Muskingum</v>
      </c>
      <c r="BH107" s="16" t="b">
        <f t="shared" si="28"/>
        <v>1</v>
      </c>
      <c r="BJ107" s="16" t="b">
        <f>C107=GenBS!C107</f>
        <v>1</v>
      </c>
    </row>
    <row r="108" spans="1:62">
      <c r="A108" s="3" t="s">
        <v>277</v>
      </c>
      <c r="B108" s="16"/>
      <c r="C108" s="16" t="s">
        <v>197</v>
      </c>
      <c r="E108" s="16">
        <v>123257</v>
      </c>
      <c r="G108" s="3">
        <v>0</v>
      </c>
      <c r="H108" s="3"/>
      <c r="I108" s="3">
        <f>18989+3183178</f>
        <v>3202167</v>
      </c>
      <c r="J108" s="3"/>
      <c r="K108" s="3">
        <v>4970</v>
      </c>
      <c r="L108" s="3"/>
      <c r="M108" s="3">
        <f>8645706+23732+4164882</f>
        <v>12834320</v>
      </c>
      <c r="N108" s="3"/>
      <c r="O108" s="3">
        <v>0</v>
      </c>
      <c r="P108" s="3"/>
      <c r="Q108" s="3">
        <v>0</v>
      </c>
      <c r="R108" s="3"/>
      <c r="S108" s="3">
        <v>22407</v>
      </c>
      <c r="T108" s="3"/>
      <c r="U108" s="3">
        <v>807005</v>
      </c>
      <c r="V108" s="3"/>
      <c r="W108" s="8">
        <f t="shared" ref="W108:W109" si="29">SUM(G108:V108)</f>
        <v>16870869</v>
      </c>
      <c r="X108" s="3"/>
      <c r="Y108" s="3">
        <v>72236</v>
      </c>
      <c r="Z108" s="3"/>
      <c r="AA108" s="3"/>
      <c r="AB108" s="3"/>
      <c r="AC108" s="3">
        <v>0</v>
      </c>
      <c r="AD108" s="3"/>
      <c r="AE108" s="3" t="s">
        <v>277</v>
      </c>
      <c r="AF108" s="16"/>
      <c r="AG108" s="16" t="s">
        <v>197</v>
      </c>
      <c r="AH108" s="3"/>
      <c r="AI108" s="3">
        <v>0</v>
      </c>
      <c r="AJ108" s="3"/>
      <c r="AK108" s="3">
        <v>0</v>
      </c>
      <c r="AL108" s="3"/>
      <c r="AM108" s="3">
        <v>0</v>
      </c>
      <c r="AN108" s="3"/>
      <c r="AO108" s="3">
        <v>0</v>
      </c>
      <c r="AP108" s="3"/>
      <c r="AQ108" s="3">
        <v>0</v>
      </c>
      <c r="AR108" s="3"/>
      <c r="AS108" s="3">
        <v>0</v>
      </c>
      <c r="AT108" s="3"/>
      <c r="AU108" s="3">
        <f t="shared" ref="AU108:AU109" si="30">SUM(Y108:AS108)</f>
        <v>72236</v>
      </c>
      <c r="AV108" s="3"/>
      <c r="AW108" s="3">
        <f t="shared" si="23"/>
        <v>16943105</v>
      </c>
      <c r="AZ108" s="3"/>
      <c r="BA108" s="3" t="str">
        <f t="shared" si="24"/>
        <v>North Central Ohio Educ Srv Ctr</v>
      </c>
      <c r="BB108" s="3" t="b">
        <f t="shared" si="25"/>
        <v>1</v>
      </c>
      <c r="BC108" s="3"/>
      <c r="BD108" s="3" t="str">
        <f>GenBS!A108</f>
        <v>North Central Ohio Educ Srv Ctr</v>
      </c>
      <c r="BE108" s="16" t="b">
        <f t="shared" si="26"/>
        <v>1</v>
      </c>
      <c r="BG108" s="3" t="str">
        <f t="shared" si="27"/>
        <v>Seneca</v>
      </c>
      <c r="BH108" s="16" t="b">
        <f t="shared" si="28"/>
        <v>1</v>
      </c>
      <c r="BJ108" s="16" t="b">
        <f>C108=GenBS!C108</f>
        <v>1</v>
      </c>
    </row>
    <row r="109" spans="1:62">
      <c r="A109" s="16" t="s">
        <v>340</v>
      </c>
      <c r="B109" s="16"/>
      <c r="C109" s="16" t="s">
        <v>163</v>
      </c>
      <c r="E109" s="16"/>
      <c r="G109" s="3">
        <v>0</v>
      </c>
      <c r="H109" s="3"/>
      <c r="I109" s="3">
        <f>2652905+13045</f>
        <v>2665950</v>
      </c>
      <c r="J109" s="3"/>
      <c r="K109" s="3">
        <v>21663</v>
      </c>
      <c r="L109" s="3"/>
      <c r="M109" s="3">
        <f>398325+16165815+17455</f>
        <v>16581595</v>
      </c>
      <c r="N109" s="3"/>
      <c r="O109" s="3">
        <v>6185</v>
      </c>
      <c r="P109" s="3"/>
      <c r="Q109" s="3">
        <v>0</v>
      </c>
      <c r="R109" s="3"/>
      <c r="S109" s="3">
        <v>13010</v>
      </c>
      <c r="T109" s="3"/>
      <c r="U109" s="3">
        <v>75133</v>
      </c>
      <c r="V109" s="3"/>
      <c r="W109" s="8">
        <f t="shared" si="29"/>
        <v>19363536</v>
      </c>
      <c r="X109" s="3"/>
      <c r="Y109" s="3">
        <v>0</v>
      </c>
      <c r="Z109" s="3"/>
      <c r="AA109" s="3"/>
      <c r="AB109" s="3"/>
      <c r="AC109" s="3">
        <v>0</v>
      </c>
      <c r="AD109" s="3"/>
      <c r="AE109" s="16" t="s">
        <v>340</v>
      </c>
      <c r="AF109" s="16"/>
      <c r="AG109" s="16" t="s">
        <v>163</v>
      </c>
      <c r="AH109" s="3"/>
      <c r="AI109" s="3">
        <v>0</v>
      </c>
      <c r="AJ109" s="3"/>
      <c r="AK109" s="3">
        <v>0</v>
      </c>
      <c r="AL109" s="3"/>
      <c r="AM109" s="3">
        <v>0</v>
      </c>
      <c r="AN109" s="3"/>
      <c r="AO109" s="3">
        <v>0</v>
      </c>
      <c r="AP109" s="3"/>
      <c r="AQ109" s="3">
        <v>0</v>
      </c>
      <c r="AR109" s="3"/>
      <c r="AS109" s="3">
        <v>0</v>
      </c>
      <c r="AT109" s="3"/>
      <c r="AU109" s="3">
        <f t="shared" si="30"/>
        <v>0</v>
      </c>
      <c r="AV109" s="3"/>
      <c r="AW109" s="3">
        <f t="shared" si="23"/>
        <v>19363536</v>
      </c>
      <c r="AZ109" s="3"/>
      <c r="BA109" s="3" t="str">
        <f t="shared" si="24"/>
        <v>North Point Educ Srv Ctr</v>
      </c>
      <c r="BB109" s="3" t="b">
        <f t="shared" si="25"/>
        <v>1</v>
      </c>
      <c r="BC109" s="3"/>
      <c r="BD109" s="3" t="str">
        <f>GenBS!A109</f>
        <v>North Point Educ Srv Ctr</v>
      </c>
      <c r="BE109" s="16" t="b">
        <f t="shared" si="26"/>
        <v>1</v>
      </c>
      <c r="BG109" s="3" t="str">
        <f t="shared" si="27"/>
        <v>Erie</v>
      </c>
      <c r="BH109" s="16" t="b">
        <f t="shared" si="28"/>
        <v>1</v>
      </c>
      <c r="BJ109" s="16" t="b">
        <f>C109=GenBS!C109</f>
        <v>1</v>
      </c>
    </row>
    <row r="110" spans="1:62">
      <c r="A110" s="3" t="s">
        <v>166</v>
      </c>
      <c r="B110" s="16"/>
      <c r="C110" s="3" t="s">
        <v>399</v>
      </c>
      <c r="E110" s="16">
        <v>124297</v>
      </c>
      <c r="G110" s="3">
        <v>0</v>
      </c>
      <c r="H110" s="3"/>
      <c r="I110" s="3">
        <v>2523982</v>
      </c>
      <c r="J110" s="3"/>
      <c r="K110" s="3">
        <v>9190</v>
      </c>
      <c r="L110" s="3"/>
      <c r="M110" s="3">
        <f>16471866+517003</f>
        <v>16988869</v>
      </c>
      <c r="N110" s="3"/>
      <c r="O110" s="3">
        <v>0</v>
      </c>
      <c r="P110" s="3"/>
      <c r="Q110" s="3">
        <v>0</v>
      </c>
      <c r="R110" s="3"/>
      <c r="S110" s="3">
        <v>7083</v>
      </c>
      <c r="T110" s="3"/>
      <c r="U110" s="3">
        <v>57442</v>
      </c>
      <c r="V110" s="3"/>
      <c r="W110" s="8">
        <f t="shared" si="22"/>
        <v>19586566</v>
      </c>
      <c r="X110" s="3"/>
      <c r="Y110" s="3">
        <v>0</v>
      </c>
      <c r="Z110" s="3"/>
      <c r="AA110" s="3"/>
      <c r="AB110" s="3"/>
      <c r="AC110" s="3">
        <v>0</v>
      </c>
      <c r="AD110" s="3"/>
      <c r="AE110" s="3" t="s">
        <v>166</v>
      </c>
      <c r="AF110" s="16"/>
      <c r="AG110" s="3" t="s">
        <v>399</v>
      </c>
      <c r="AH110" s="3"/>
      <c r="AI110" s="3">
        <v>0</v>
      </c>
      <c r="AJ110" s="3"/>
      <c r="AK110" s="3">
        <v>0</v>
      </c>
      <c r="AL110" s="3"/>
      <c r="AM110" s="3">
        <v>0</v>
      </c>
      <c r="AN110" s="3"/>
      <c r="AO110" s="3">
        <v>0</v>
      </c>
      <c r="AP110" s="3"/>
      <c r="AQ110" s="3">
        <v>1258000</v>
      </c>
      <c r="AR110" s="3"/>
      <c r="AS110" s="3">
        <v>0</v>
      </c>
      <c r="AT110" s="3"/>
      <c r="AU110" s="3">
        <f t="shared" ref="AU110:AU130" si="31">SUM(Y110:AS110)</f>
        <v>1258000</v>
      </c>
      <c r="AV110" s="3"/>
      <c r="AW110" s="3">
        <f t="shared" si="23"/>
        <v>20844566</v>
      </c>
      <c r="AZ110" s="3" t="s">
        <v>400</v>
      </c>
      <c r="BA110" s="3" t="str">
        <f t="shared" si="24"/>
        <v>Northwest Ohio Educ Srv Ctr</v>
      </c>
      <c r="BB110" s="3" t="b">
        <f t="shared" si="25"/>
        <v>1</v>
      </c>
      <c r="BC110" s="3"/>
      <c r="BD110" s="3" t="str">
        <f>GenBS!A110</f>
        <v>Northwest Ohio Educ Srv Ctr</v>
      </c>
      <c r="BE110" s="16" t="b">
        <f t="shared" si="26"/>
        <v>1</v>
      </c>
      <c r="BG110" s="3" t="str">
        <f t="shared" si="27"/>
        <v>Fulton</v>
      </c>
      <c r="BH110" s="16" t="b">
        <f t="shared" si="28"/>
        <v>1</v>
      </c>
      <c r="BJ110" s="16" t="b">
        <f>C110=GenBS!C110</f>
        <v>1</v>
      </c>
    </row>
    <row r="111" spans="1:62">
      <c r="A111" s="3" t="s">
        <v>364</v>
      </c>
      <c r="B111" s="16"/>
      <c r="C111" s="3" t="s">
        <v>271</v>
      </c>
      <c r="E111" s="16">
        <v>123521</v>
      </c>
      <c r="G111" s="3">
        <v>0</v>
      </c>
      <c r="H111" s="3"/>
      <c r="I111" s="3">
        <v>2425285</v>
      </c>
      <c r="J111" s="3"/>
      <c r="K111" s="3">
        <v>5395</v>
      </c>
      <c r="L111" s="3"/>
      <c r="M111" s="3">
        <f>830195+17723+5072861</f>
        <v>5920779</v>
      </c>
      <c r="N111" s="3"/>
      <c r="O111" s="3">
        <v>0</v>
      </c>
      <c r="P111" s="3"/>
      <c r="Q111" s="3">
        <v>0</v>
      </c>
      <c r="R111" s="3"/>
      <c r="S111" s="3">
        <v>5770</v>
      </c>
      <c r="T111" s="3"/>
      <c r="U111" s="3">
        <v>3579</v>
      </c>
      <c r="V111" s="3"/>
      <c r="W111" s="8">
        <f t="shared" si="22"/>
        <v>8360808</v>
      </c>
      <c r="X111" s="3"/>
      <c r="Y111" s="3">
        <v>0</v>
      </c>
      <c r="Z111" s="3"/>
      <c r="AA111" s="3"/>
      <c r="AB111" s="3"/>
      <c r="AC111" s="3">
        <v>0</v>
      </c>
      <c r="AD111" s="3"/>
      <c r="AE111" s="3" t="s">
        <v>364</v>
      </c>
      <c r="AF111" s="16"/>
      <c r="AG111" s="3" t="s">
        <v>271</v>
      </c>
      <c r="AH111" s="3"/>
      <c r="AI111" s="3">
        <v>0</v>
      </c>
      <c r="AJ111" s="3"/>
      <c r="AK111" s="3">
        <v>0</v>
      </c>
      <c r="AL111" s="3"/>
      <c r="AM111" s="3">
        <v>0</v>
      </c>
      <c r="AN111" s="3"/>
      <c r="AO111" s="3">
        <v>0</v>
      </c>
      <c r="AP111" s="3"/>
      <c r="AQ111" s="3">
        <v>0</v>
      </c>
      <c r="AR111" s="3"/>
      <c r="AS111" s="3">
        <v>0</v>
      </c>
      <c r="AT111" s="3"/>
      <c r="AU111" s="3">
        <f t="shared" si="31"/>
        <v>0</v>
      </c>
      <c r="AV111" s="3"/>
      <c r="AW111" s="3">
        <f t="shared" si="23"/>
        <v>8360808</v>
      </c>
      <c r="AZ111" s="3"/>
      <c r="BA111" s="3" t="str">
        <f t="shared" si="24"/>
        <v>Ohio Valley Educ Srv Ctr</v>
      </c>
      <c r="BB111" s="3" t="b">
        <f t="shared" si="25"/>
        <v>1</v>
      </c>
      <c r="BC111" s="3"/>
      <c r="BD111" s="3" t="str">
        <f>GenBS!A111</f>
        <v>Ohio Valley Educ Srv Ctr</v>
      </c>
      <c r="BE111" s="16" t="b">
        <f t="shared" si="26"/>
        <v>1</v>
      </c>
      <c r="BG111" s="3" t="str">
        <f t="shared" si="27"/>
        <v>Guernsey</v>
      </c>
      <c r="BH111" s="16" t="b">
        <f t="shared" si="28"/>
        <v>1</v>
      </c>
      <c r="BJ111" s="16" t="b">
        <f>C111=GenBS!C111</f>
        <v>1</v>
      </c>
    </row>
    <row r="112" spans="1:62">
      <c r="A112" s="3" t="s">
        <v>187</v>
      </c>
      <c r="B112" s="16"/>
      <c r="C112" s="16" t="s">
        <v>188</v>
      </c>
      <c r="E112" s="16">
        <v>125674</v>
      </c>
      <c r="G112" s="3">
        <v>0</v>
      </c>
      <c r="H112" s="3"/>
      <c r="I112" s="3">
        <v>555671</v>
      </c>
      <c r="J112" s="3"/>
      <c r="K112" s="3">
        <v>1348</v>
      </c>
      <c r="L112" s="3"/>
      <c r="M112" s="3">
        <f>3218851+1147875</f>
        <v>4366726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v>29580</v>
      </c>
      <c r="V112" s="3"/>
      <c r="W112" s="8">
        <f t="shared" si="22"/>
        <v>4953325</v>
      </c>
      <c r="X112" s="3"/>
      <c r="Y112" s="3">
        <v>0</v>
      </c>
      <c r="Z112" s="3"/>
      <c r="AA112" s="3"/>
      <c r="AB112" s="3"/>
      <c r="AC112" s="3">
        <v>0</v>
      </c>
      <c r="AD112" s="3"/>
      <c r="AE112" s="3" t="s">
        <v>187</v>
      </c>
      <c r="AF112" s="16"/>
      <c r="AG112" s="16" t="s">
        <v>188</v>
      </c>
      <c r="AH112" s="3"/>
      <c r="AI112" s="3">
        <v>0</v>
      </c>
      <c r="AJ112" s="3"/>
      <c r="AK112" s="3">
        <v>0</v>
      </c>
      <c r="AL112" s="3"/>
      <c r="AM112" s="3">
        <v>6256</v>
      </c>
      <c r="AN112" s="3"/>
      <c r="AO112" s="3">
        <v>0</v>
      </c>
      <c r="AP112" s="3"/>
      <c r="AQ112" s="3">
        <v>0</v>
      </c>
      <c r="AR112" s="3"/>
      <c r="AS112" s="3">
        <v>0</v>
      </c>
      <c r="AT112" s="3"/>
      <c r="AU112" s="3">
        <f t="shared" si="31"/>
        <v>6256</v>
      </c>
      <c r="AV112" s="3"/>
      <c r="AW112" s="3">
        <f t="shared" si="23"/>
        <v>4959581</v>
      </c>
      <c r="AZ112" s="3" t="s">
        <v>406</v>
      </c>
      <c r="BA112" s="3" t="str">
        <f t="shared" si="24"/>
        <v>Perry-Hocking Educ Srv Ctr</v>
      </c>
      <c r="BB112" s="3" t="b">
        <f t="shared" si="25"/>
        <v>1</v>
      </c>
      <c r="BC112" s="3"/>
      <c r="BD112" s="3" t="str">
        <f>GenBS!A112</f>
        <v>Perry-Hocking Educ Srv Ctr</v>
      </c>
      <c r="BE112" s="16" t="b">
        <f t="shared" si="26"/>
        <v>1</v>
      </c>
      <c r="BG112" s="3" t="str">
        <f t="shared" si="27"/>
        <v>Perry</v>
      </c>
      <c r="BH112" s="16" t="b">
        <f t="shared" si="28"/>
        <v>1</v>
      </c>
      <c r="BJ112" s="16" t="b">
        <f>C112=GenBS!C112</f>
        <v>1</v>
      </c>
    </row>
    <row r="113" spans="1:62">
      <c r="A113" s="3" t="s">
        <v>421</v>
      </c>
      <c r="B113" s="16"/>
      <c r="C113" s="16" t="s">
        <v>189</v>
      </c>
      <c r="E113" s="16">
        <v>49072</v>
      </c>
      <c r="G113" s="3">
        <v>0</v>
      </c>
      <c r="H113" s="3"/>
      <c r="I113" s="3">
        <v>597601</v>
      </c>
      <c r="J113" s="3"/>
      <c r="K113" s="3">
        <v>0</v>
      </c>
      <c r="L113" s="3"/>
      <c r="M113" s="3">
        <f>2697903+325</f>
        <v>2698228</v>
      </c>
      <c r="N113" s="3"/>
      <c r="O113" s="3">
        <v>0</v>
      </c>
      <c r="P113" s="3"/>
      <c r="Q113" s="3">
        <v>0</v>
      </c>
      <c r="R113" s="3"/>
      <c r="S113" s="3">
        <v>0</v>
      </c>
      <c r="T113" s="3"/>
      <c r="U113" s="3">
        <v>36276</v>
      </c>
      <c r="V113" s="3"/>
      <c r="W113" s="8">
        <f t="shared" si="22"/>
        <v>3332105</v>
      </c>
      <c r="X113" s="3"/>
      <c r="Y113" s="3">
        <v>0</v>
      </c>
      <c r="Z113" s="3"/>
      <c r="AA113" s="3"/>
      <c r="AB113" s="3"/>
      <c r="AC113" s="3">
        <v>0</v>
      </c>
      <c r="AD113" s="3"/>
      <c r="AE113" s="3" t="s">
        <v>421</v>
      </c>
      <c r="AF113" s="16"/>
      <c r="AG113" s="16" t="s">
        <v>189</v>
      </c>
      <c r="AH113" s="3"/>
      <c r="AI113" s="3">
        <v>0</v>
      </c>
      <c r="AJ113" s="3"/>
      <c r="AK113" s="3">
        <v>0</v>
      </c>
      <c r="AL113" s="3"/>
      <c r="AM113" s="3">
        <v>0</v>
      </c>
      <c r="AN113" s="3"/>
      <c r="AO113" s="3">
        <v>0</v>
      </c>
      <c r="AP113" s="3"/>
      <c r="AQ113" s="3">
        <v>0</v>
      </c>
      <c r="AR113" s="3"/>
      <c r="AS113" s="3">
        <v>0</v>
      </c>
      <c r="AT113" s="3"/>
      <c r="AU113" s="3">
        <f t="shared" si="31"/>
        <v>0</v>
      </c>
      <c r="AV113" s="3"/>
      <c r="AW113" s="3">
        <f t="shared" si="23"/>
        <v>3332105</v>
      </c>
      <c r="AZ113" s="32"/>
      <c r="BA113" s="3" t="str">
        <f t="shared" si="24"/>
        <v>Pickaway County Educ Srv Ctr</v>
      </c>
      <c r="BB113" s="3" t="b">
        <f t="shared" si="25"/>
        <v>1</v>
      </c>
      <c r="BC113" s="3"/>
      <c r="BD113" s="3" t="str">
        <f>GenBS!A113</f>
        <v>Pickaway County Educ Srv Ctr</v>
      </c>
      <c r="BE113" s="16" t="b">
        <f t="shared" si="26"/>
        <v>1</v>
      </c>
      <c r="BG113" s="3" t="str">
        <f t="shared" si="27"/>
        <v>Pickaway</v>
      </c>
      <c r="BH113" s="16" t="b">
        <f t="shared" si="28"/>
        <v>1</v>
      </c>
      <c r="BJ113" s="16" t="b">
        <f>C113=GenBS!C113</f>
        <v>1</v>
      </c>
    </row>
    <row r="114" spans="1:62">
      <c r="A114" s="3" t="s">
        <v>408</v>
      </c>
      <c r="B114" s="16"/>
      <c r="C114" s="16" t="s">
        <v>190</v>
      </c>
      <c r="E114" s="16">
        <v>49163</v>
      </c>
      <c r="G114" s="3">
        <v>0</v>
      </c>
      <c r="H114" s="3"/>
      <c r="I114" s="3">
        <v>1184038</v>
      </c>
      <c r="J114" s="3"/>
      <c r="K114" s="3">
        <v>757</v>
      </c>
      <c r="L114" s="3"/>
      <c r="M114" s="3">
        <f>4436743+1175501</f>
        <v>5612244</v>
      </c>
      <c r="N114" s="3"/>
      <c r="O114" s="3">
        <v>0</v>
      </c>
      <c r="P114" s="3"/>
      <c r="Q114" s="3">
        <v>0</v>
      </c>
      <c r="R114" s="3"/>
      <c r="S114" s="3">
        <v>1050</v>
      </c>
      <c r="T114" s="3"/>
      <c r="U114" s="3">
        <v>22749</v>
      </c>
      <c r="V114" s="3"/>
      <c r="W114" s="8">
        <f t="shared" si="22"/>
        <v>6820838</v>
      </c>
      <c r="X114" s="3"/>
      <c r="Y114" s="3">
        <v>0</v>
      </c>
      <c r="Z114" s="3"/>
      <c r="AA114" s="3"/>
      <c r="AB114" s="3"/>
      <c r="AC114" s="3">
        <v>0</v>
      </c>
      <c r="AD114" s="3"/>
      <c r="AE114" s="3" t="s">
        <v>408</v>
      </c>
      <c r="AF114" s="16"/>
      <c r="AG114" s="16" t="s">
        <v>190</v>
      </c>
      <c r="AH114" s="3"/>
      <c r="AI114" s="3">
        <v>0</v>
      </c>
      <c r="AJ114" s="3"/>
      <c r="AK114" s="3">
        <v>0</v>
      </c>
      <c r="AL114" s="3"/>
      <c r="AM114" s="3">
        <v>0</v>
      </c>
      <c r="AN114" s="3"/>
      <c r="AO114" s="3">
        <v>0</v>
      </c>
      <c r="AP114" s="3"/>
      <c r="AQ114" s="3">
        <v>0</v>
      </c>
      <c r="AR114" s="3"/>
      <c r="AS114" s="3">
        <v>0</v>
      </c>
      <c r="AT114" s="3"/>
      <c r="AU114" s="3">
        <f t="shared" si="31"/>
        <v>0</v>
      </c>
      <c r="AV114" s="3"/>
      <c r="AW114" s="3">
        <f t="shared" si="23"/>
        <v>6820838</v>
      </c>
      <c r="AZ114" s="32"/>
      <c r="BA114" s="3" t="str">
        <f t="shared" si="24"/>
        <v>Portage County Educ Srv Ctr</v>
      </c>
      <c r="BB114" s="3" t="b">
        <f t="shared" si="25"/>
        <v>1</v>
      </c>
      <c r="BC114" s="3"/>
      <c r="BD114" s="3" t="str">
        <f>GenBS!A114</f>
        <v>Portage County Educ Srv Ctr</v>
      </c>
      <c r="BE114" s="16" t="b">
        <f t="shared" si="26"/>
        <v>1</v>
      </c>
      <c r="BG114" s="3" t="str">
        <f t="shared" si="27"/>
        <v>Portage</v>
      </c>
      <c r="BH114" s="16" t="b">
        <f t="shared" si="28"/>
        <v>1</v>
      </c>
      <c r="BJ114" s="16" t="b">
        <f>C114=GenBS!C114</f>
        <v>1</v>
      </c>
    </row>
    <row r="115" spans="1:62" s="72" customFormat="1" hidden="1">
      <c r="A115" s="66" t="s">
        <v>409</v>
      </c>
      <c r="B115" s="66"/>
      <c r="C115" s="66" t="s">
        <v>191</v>
      </c>
      <c r="E115" s="66">
        <v>49254</v>
      </c>
      <c r="G115" s="3">
        <v>0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3">
        <v>0</v>
      </c>
      <c r="R115" s="65"/>
      <c r="S115" s="65"/>
      <c r="T115" s="65"/>
      <c r="U115" s="65"/>
      <c r="V115" s="65"/>
      <c r="W115" s="70">
        <f t="shared" si="22"/>
        <v>0</v>
      </c>
      <c r="X115" s="65"/>
      <c r="Y115" s="3">
        <v>0</v>
      </c>
      <c r="Z115" s="65"/>
      <c r="AA115" s="65"/>
      <c r="AB115" s="65"/>
      <c r="AC115" s="3">
        <v>0</v>
      </c>
      <c r="AD115" s="65"/>
      <c r="AE115" s="66" t="s">
        <v>409</v>
      </c>
      <c r="AF115" s="66"/>
      <c r="AG115" s="66" t="s">
        <v>191</v>
      </c>
      <c r="AH115" s="65"/>
      <c r="AI115" s="3">
        <v>0</v>
      </c>
      <c r="AJ115" s="65"/>
      <c r="AK115" s="65"/>
      <c r="AL115" s="65"/>
      <c r="AM115" s="65"/>
      <c r="AN115" s="65"/>
      <c r="AO115" s="3">
        <v>0</v>
      </c>
      <c r="AP115" s="65"/>
      <c r="AQ115" s="65"/>
      <c r="AR115" s="65"/>
      <c r="AS115" s="3">
        <v>0</v>
      </c>
      <c r="AT115" s="65"/>
      <c r="AU115" s="65">
        <f t="shared" si="31"/>
        <v>0</v>
      </c>
      <c r="AV115" s="65"/>
      <c r="AW115" s="65">
        <f t="shared" si="23"/>
        <v>0</v>
      </c>
      <c r="AZ115" s="80" t="s">
        <v>410</v>
      </c>
      <c r="BA115" s="65" t="str">
        <f t="shared" si="24"/>
        <v>Preble County Educ Srv Ctr (CASH)</v>
      </c>
      <c r="BB115" s="65" t="b">
        <f t="shared" si="25"/>
        <v>1</v>
      </c>
      <c r="BC115" s="65"/>
      <c r="BD115" s="65" t="str">
        <f>GenBS!A115</f>
        <v>Preble County Educ Srv Ctr (CASH)</v>
      </c>
      <c r="BE115" s="66" t="b">
        <f t="shared" si="26"/>
        <v>1</v>
      </c>
      <c r="BG115" s="65" t="str">
        <f t="shared" si="27"/>
        <v>Preble</v>
      </c>
      <c r="BH115" s="66" t="b">
        <f t="shared" si="28"/>
        <v>1</v>
      </c>
      <c r="BJ115" s="66" t="b">
        <f>C115=GenBS!C115</f>
        <v>1</v>
      </c>
    </row>
    <row r="116" spans="1:62">
      <c r="A116" s="3" t="s">
        <v>411</v>
      </c>
      <c r="B116" s="16"/>
      <c r="C116" s="16" t="s">
        <v>192</v>
      </c>
      <c r="E116" s="16">
        <v>49304</v>
      </c>
      <c r="G116" s="3">
        <v>0</v>
      </c>
      <c r="H116" s="3"/>
      <c r="I116" s="3">
        <f>14288+780344</f>
        <v>794632</v>
      </c>
      <c r="J116" s="3"/>
      <c r="K116" s="3">
        <v>6488</v>
      </c>
      <c r="L116" s="3"/>
      <c r="M116" s="3">
        <f>2002605+74558+130956</f>
        <v>2208119</v>
      </c>
      <c r="N116" s="3"/>
      <c r="O116" s="3">
        <v>20</v>
      </c>
      <c r="P116" s="3"/>
      <c r="Q116" s="3">
        <v>0</v>
      </c>
      <c r="R116" s="3"/>
      <c r="S116" s="3">
        <v>24783</v>
      </c>
      <c r="T116" s="3"/>
      <c r="U116" s="3">
        <v>57772</v>
      </c>
      <c r="V116" s="3"/>
      <c r="W116" s="8">
        <f t="shared" si="22"/>
        <v>3091814</v>
      </c>
      <c r="X116" s="3"/>
      <c r="Y116" s="3">
        <v>0</v>
      </c>
      <c r="Z116" s="3"/>
      <c r="AA116" s="3"/>
      <c r="AB116" s="3"/>
      <c r="AC116" s="3">
        <v>0</v>
      </c>
      <c r="AD116" s="3"/>
      <c r="AE116" s="3" t="s">
        <v>411</v>
      </c>
      <c r="AF116" s="16"/>
      <c r="AG116" s="16" t="s">
        <v>192</v>
      </c>
      <c r="AH116" s="3"/>
      <c r="AI116" s="3">
        <v>0</v>
      </c>
      <c r="AJ116" s="3"/>
      <c r="AK116" s="3">
        <v>0</v>
      </c>
      <c r="AL116" s="3"/>
      <c r="AM116" s="3">
        <v>33598</v>
      </c>
      <c r="AN116" s="3"/>
      <c r="AO116" s="3">
        <v>0</v>
      </c>
      <c r="AP116" s="3"/>
      <c r="AQ116" s="3">
        <v>0</v>
      </c>
      <c r="AR116" s="3"/>
      <c r="AS116" s="3">
        <v>0</v>
      </c>
      <c r="AT116" s="3"/>
      <c r="AU116" s="3">
        <f t="shared" si="31"/>
        <v>33598</v>
      </c>
      <c r="AV116" s="3"/>
      <c r="AW116" s="3">
        <f t="shared" si="23"/>
        <v>3125412</v>
      </c>
      <c r="AZ116" s="3"/>
      <c r="BA116" s="3" t="str">
        <f t="shared" si="24"/>
        <v>Putnam County Educ Srv Ctr</v>
      </c>
      <c r="BB116" s="3" t="b">
        <f t="shared" si="25"/>
        <v>1</v>
      </c>
      <c r="BC116" s="3"/>
      <c r="BD116" s="3" t="str">
        <f>GenBS!A116</f>
        <v>Putnam County Educ Srv Ctr</v>
      </c>
      <c r="BE116" s="16" t="b">
        <f t="shared" si="26"/>
        <v>1</v>
      </c>
      <c r="BG116" s="3" t="str">
        <f t="shared" si="27"/>
        <v>Putnam</v>
      </c>
      <c r="BH116" s="16" t="b">
        <f t="shared" si="28"/>
        <v>1</v>
      </c>
      <c r="BJ116" s="16" t="b">
        <f>C116=GenBS!C116</f>
        <v>1</v>
      </c>
    </row>
    <row r="117" spans="1:62">
      <c r="A117" s="3" t="s">
        <v>412</v>
      </c>
      <c r="B117" s="16"/>
      <c r="C117" s="16" t="s">
        <v>194</v>
      </c>
      <c r="E117" s="16">
        <v>138222</v>
      </c>
      <c r="G117" s="3">
        <v>0</v>
      </c>
      <c r="H117" s="3"/>
      <c r="I117" s="3">
        <v>1584474</v>
      </c>
      <c r="J117" s="3"/>
      <c r="K117" s="3">
        <v>21274</v>
      </c>
      <c r="L117" s="3"/>
      <c r="M117" s="3">
        <f>6078191+436332+39106</f>
        <v>6553629</v>
      </c>
      <c r="N117" s="3"/>
      <c r="O117" s="3">
        <v>0</v>
      </c>
      <c r="P117" s="3"/>
      <c r="Q117" s="3">
        <v>0</v>
      </c>
      <c r="R117" s="3"/>
      <c r="S117" s="3">
        <v>980</v>
      </c>
      <c r="T117" s="3"/>
      <c r="U117" s="3">
        <v>136877</v>
      </c>
      <c r="V117" s="3"/>
      <c r="W117" s="8">
        <f t="shared" si="22"/>
        <v>8297234</v>
      </c>
      <c r="X117" s="3"/>
      <c r="Y117" s="3">
        <v>0</v>
      </c>
      <c r="Z117" s="3"/>
      <c r="AA117" s="3"/>
      <c r="AB117" s="3"/>
      <c r="AC117" s="3">
        <v>0</v>
      </c>
      <c r="AD117" s="3"/>
      <c r="AE117" s="3" t="s">
        <v>412</v>
      </c>
      <c r="AF117" s="16"/>
      <c r="AG117" s="16" t="s">
        <v>194</v>
      </c>
      <c r="AH117" s="3"/>
      <c r="AI117" s="3">
        <v>0</v>
      </c>
      <c r="AJ117" s="3"/>
      <c r="AK117" s="3">
        <v>0</v>
      </c>
      <c r="AL117" s="3"/>
      <c r="AM117" s="3">
        <v>1917</v>
      </c>
      <c r="AN117" s="3"/>
      <c r="AO117" s="3">
        <v>0</v>
      </c>
      <c r="AP117" s="3"/>
      <c r="AQ117" s="3">
        <v>0</v>
      </c>
      <c r="AR117" s="3"/>
      <c r="AS117" s="3">
        <v>0</v>
      </c>
      <c r="AT117" s="3"/>
      <c r="AU117" s="3">
        <f t="shared" si="31"/>
        <v>1917</v>
      </c>
      <c r="AV117" s="3"/>
      <c r="AW117" s="3">
        <f t="shared" si="23"/>
        <v>8299151</v>
      </c>
      <c r="AZ117" s="3"/>
      <c r="BA117" s="3" t="str">
        <f t="shared" si="24"/>
        <v>Ross-Pike Educ Srv District</v>
      </c>
      <c r="BB117" s="3" t="b">
        <f t="shared" si="25"/>
        <v>1</v>
      </c>
      <c r="BC117" s="3"/>
      <c r="BD117" s="3" t="str">
        <f>GenBS!A117</f>
        <v>Ross-Pike Educ Srv District</v>
      </c>
      <c r="BE117" s="16" t="b">
        <f t="shared" si="26"/>
        <v>1</v>
      </c>
      <c r="BG117" s="3" t="str">
        <f t="shared" si="27"/>
        <v>Ross</v>
      </c>
      <c r="BH117" s="16" t="b">
        <f t="shared" si="28"/>
        <v>1</v>
      </c>
      <c r="BJ117" s="16" t="b">
        <f>C117=GenBS!C117</f>
        <v>1</v>
      </c>
    </row>
    <row r="118" spans="1:62" s="72" customFormat="1" hidden="1">
      <c r="A118" s="65" t="s">
        <v>341</v>
      </c>
      <c r="B118" s="66"/>
      <c r="C118" s="66" t="s">
        <v>195</v>
      </c>
      <c r="E118" s="66">
        <v>49551</v>
      </c>
      <c r="G118" s="3">
        <v>0</v>
      </c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70">
        <f t="shared" si="22"/>
        <v>0</v>
      </c>
      <c r="X118" s="65"/>
      <c r="Y118" s="65"/>
      <c r="Z118" s="65"/>
      <c r="AA118" s="65"/>
      <c r="AB118" s="65"/>
      <c r="AC118" s="3">
        <v>0</v>
      </c>
      <c r="AD118" s="65"/>
      <c r="AE118" s="65" t="s">
        <v>341</v>
      </c>
      <c r="AF118" s="66"/>
      <c r="AG118" s="66" t="s">
        <v>195</v>
      </c>
      <c r="AH118" s="65"/>
      <c r="AI118" s="3">
        <v>0</v>
      </c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>
        <f t="shared" si="31"/>
        <v>0</v>
      </c>
      <c r="AV118" s="65"/>
      <c r="AW118" s="65">
        <f t="shared" si="23"/>
        <v>0</v>
      </c>
      <c r="AZ118" s="65" t="s">
        <v>321</v>
      </c>
      <c r="BA118" s="65" t="str">
        <f t="shared" si="24"/>
        <v>Sandusky Educ Srv Ctr - merged with two other ESC</v>
      </c>
      <c r="BB118" s="65" t="b">
        <f t="shared" si="25"/>
        <v>1</v>
      </c>
      <c r="BC118" s="65"/>
      <c r="BD118" s="65" t="str">
        <f>GenBS!A118</f>
        <v>Sandusky Educ Srv Ctr - merged with two other ESC</v>
      </c>
      <c r="BE118" s="66" t="b">
        <f t="shared" si="26"/>
        <v>1</v>
      </c>
      <c r="BG118" s="65" t="str">
        <f t="shared" si="27"/>
        <v>Sandusky</v>
      </c>
      <c r="BH118" s="66" t="b">
        <f t="shared" si="28"/>
        <v>1</v>
      </c>
      <c r="BJ118" s="66" t="b">
        <f>C118=GenBS!C118</f>
        <v>1</v>
      </c>
    </row>
    <row r="119" spans="1:62">
      <c r="A119" s="3" t="s">
        <v>417</v>
      </c>
      <c r="B119" s="16"/>
      <c r="C119" s="16" t="s">
        <v>198</v>
      </c>
      <c r="E119" s="16">
        <v>49742</v>
      </c>
      <c r="G119" s="3">
        <v>0</v>
      </c>
      <c r="H119" s="3"/>
      <c r="I119" s="3">
        <f>847+382134</f>
        <v>382981</v>
      </c>
      <c r="J119" s="3"/>
      <c r="K119" s="3">
        <v>1571</v>
      </c>
      <c r="L119" s="3"/>
      <c r="M119" s="3">
        <v>3234701</v>
      </c>
      <c r="N119" s="3"/>
      <c r="O119" s="3">
        <v>1944</v>
      </c>
      <c r="P119" s="3"/>
      <c r="Q119" s="3">
        <v>0</v>
      </c>
      <c r="R119" s="3"/>
      <c r="S119" s="3">
        <v>7745</v>
      </c>
      <c r="T119" s="3"/>
      <c r="U119" s="3">
        <v>71898</v>
      </c>
      <c r="V119" s="3"/>
      <c r="W119" s="8">
        <f t="shared" si="22"/>
        <v>3700840</v>
      </c>
      <c r="X119" s="3"/>
      <c r="Y119" s="3">
        <v>0</v>
      </c>
      <c r="Z119" s="3"/>
      <c r="AA119" s="3">
        <v>0</v>
      </c>
      <c r="AB119" s="3"/>
      <c r="AC119" s="3">
        <v>0</v>
      </c>
      <c r="AD119" s="3"/>
      <c r="AE119" s="3" t="s">
        <v>417</v>
      </c>
      <c r="AF119" s="16"/>
      <c r="AG119" s="16" t="s">
        <v>198</v>
      </c>
      <c r="AH119" s="3"/>
      <c r="AI119" s="3">
        <v>0</v>
      </c>
      <c r="AJ119" s="3"/>
      <c r="AK119" s="3">
        <v>0</v>
      </c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v>0</v>
      </c>
      <c r="AT119" s="3"/>
      <c r="AU119" s="3">
        <f t="shared" si="31"/>
        <v>0</v>
      </c>
      <c r="AV119" s="3"/>
      <c r="AW119" s="3">
        <f t="shared" si="23"/>
        <v>3700840</v>
      </c>
      <c r="AZ119" s="32" t="s">
        <v>418</v>
      </c>
      <c r="BA119" s="3" t="str">
        <f t="shared" si="24"/>
        <v>Shelby County Educ Srv Ctr</v>
      </c>
      <c r="BB119" s="3" t="b">
        <f t="shared" si="25"/>
        <v>1</v>
      </c>
      <c r="BC119" s="3"/>
      <c r="BD119" s="3" t="str">
        <f>GenBS!A119</f>
        <v>Shelby County Educ Srv Ctr</v>
      </c>
      <c r="BE119" s="16" t="b">
        <f t="shared" si="26"/>
        <v>1</v>
      </c>
      <c r="BG119" s="3" t="str">
        <f t="shared" si="27"/>
        <v>Shelby</v>
      </c>
      <c r="BH119" s="16" t="b">
        <f t="shared" si="28"/>
        <v>1</v>
      </c>
      <c r="BJ119" s="16" t="b">
        <f>C119=GenBS!C119</f>
        <v>1</v>
      </c>
    </row>
    <row r="120" spans="1:62">
      <c r="A120" s="3" t="s">
        <v>275</v>
      </c>
      <c r="B120" s="16"/>
      <c r="C120" s="16" t="s">
        <v>196</v>
      </c>
      <c r="E120" s="16">
        <v>125658</v>
      </c>
      <c r="G120" s="3">
        <v>0</v>
      </c>
      <c r="H120" s="3"/>
      <c r="I120" s="3">
        <v>1304519</v>
      </c>
      <c r="J120" s="3"/>
      <c r="K120" s="3">
        <v>6658</v>
      </c>
      <c r="L120" s="3"/>
      <c r="M120" s="3">
        <f>5701063+1047283</f>
        <v>6748346</v>
      </c>
      <c r="N120" s="3"/>
      <c r="O120" s="3">
        <v>0</v>
      </c>
      <c r="P120" s="3"/>
      <c r="Q120" s="3">
        <v>0</v>
      </c>
      <c r="R120" s="3"/>
      <c r="S120" s="3">
        <v>33956</v>
      </c>
      <c r="T120" s="3"/>
      <c r="U120" s="3">
        <v>1957</v>
      </c>
      <c r="V120" s="3"/>
      <c r="W120" s="8">
        <f t="shared" si="22"/>
        <v>8095436</v>
      </c>
      <c r="X120" s="3"/>
      <c r="Y120" s="3">
        <v>0</v>
      </c>
      <c r="Z120" s="3"/>
      <c r="AA120" s="3">
        <v>0</v>
      </c>
      <c r="AB120" s="3"/>
      <c r="AC120" s="3">
        <v>0</v>
      </c>
      <c r="AD120" s="3"/>
      <c r="AE120" s="3" t="s">
        <v>275</v>
      </c>
      <c r="AF120" s="16"/>
      <c r="AG120" s="16" t="s">
        <v>196</v>
      </c>
      <c r="AH120" s="3"/>
      <c r="AI120" s="3">
        <v>0</v>
      </c>
      <c r="AJ120" s="3"/>
      <c r="AK120" s="3">
        <v>0</v>
      </c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0</v>
      </c>
      <c r="AT120" s="3"/>
      <c r="AU120" s="3">
        <f t="shared" si="31"/>
        <v>0</v>
      </c>
      <c r="AV120" s="3"/>
      <c r="AW120" s="3">
        <f t="shared" si="23"/>
        <v>8095436</v>
      </c>
      <c r="AZ120" s="3"/>
      <c r="BA120" s="3" t="str">
        <f t="shared" si="24"/>
        <v>South Central Ohio Educ Srv Ctr</v>
      </c>
      <c r="BB120" s="3" t="b">
        <f t="shared" si="25"/>
        <v>1</v>
      </c>
      <c r="BC120" s="3"/>
      <c r="BD120" s="3" t="str">
        <f>GenBS!A120</f>
        <v>South Central Ohio Educ Srv Ctr</v>
      </c>
      <c r="BE120" s="16" t="b">
        <f t="shared" si="26"/>
        <v>1</v>
      </c>
      <c r="BG120" s="3" t="str">
        <f t="shared" si="27"/>
        <v>Scioto</v>
      </c>
      <c r="BH120" s="16" t="b">
        <f t="shared" si="28"/>
        <v>1</v>
      </c>
      <c r="BJ120" s="16" t="b">
        <f>C120=GenBS!C120</f>
        <v>1</v>
      </c>
    </row>
    <row r="121" spans="1:62">
      <c r="A121" s="3" t="s">
        <v>274</v>
      </c>
      <c r="B121" s="3"/>
      <c r="C121" s="3" t="s">
        <v>158</v>
      </c>
      <c r="E121" s="16"/>
      <c r="G121" s="3">
        <v>0</v>
      </c>
      <c r="H121" s="3"/>
      <c r="I121" s="3">
        <v>1153304</v>
      </c>
      <c r="J121" s="3"/>
      <c r="K121" s="3">
        <v>74828</v>
      </c>
      <c r="L121" s="3"/>
      <c r="M121" s="3">
        <f>2003417+192434</f>
        <v>2195851</v>
      </c>
      <c r="N121" s="3"/>
      <c r="O121" s="3">
        <v>0</v>
      </c>
      <c r="P121" s="3"/>
      <c r="Q121" s="3">
        <v>0</v>
      </c>
      <c r="R121" s="3"/>
      <c r="S121" s="3">
        <v>0</v>
      </c>
      <c r="T121" s="3"/>
      <c r="U121" s="3">
        <v>34470</v>
      </c>
      <c r="V121" s="3"/>
      <c r="W121" s="8">
        <f>SUM(G121:V121)</f>
        <v>3458453</v>
      </c>
      <c r="X121" s="3"/>
      <c r="Y121" s="3">
        <v>0</v>
      </c>
      <c r="Z121" s="3"/>
      <c r="AA121" s="3">
        <v>0</v>
      </c>
      <c r="AB121" s="3"/>
      <c r="AC121" s="3">
        <v>0</v>
      </c>
      <c r="AD121" s="3"/>
      <c r="AE121" s="3" t="s">
        <v>274</v>
      </c>
      <c r="AF121" s="3"/>
      <c r="AG121" s="3" t="s">
        <v>158</v>
      </c>
      <c r="AH121" s="3"/>
      <c r="AI121" s="3">
        <v>0</v>
      </c>
      <c r="AJ121" s="3"/>
      <c r="AK121" s="3">
        <v>0</v>
      </c>
      <c r="AL121" s="3"/>
      <c r="AM121" s="3">
        <v>105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f t="shared" si="31"/>
        <v>105</v>
      </c>
      <c r="AV121" s="3"/>
      <c r="AW121" s="3">
        <f t="shared" si="23"/>
        <v>3458558</v>
      </c>
      <c r="AZ121" s="19"/>
      <c r="BA121" s="3" t="str">
        <f t="shared" si="24"/>
        <v>Southern Ohio Educ Srv Ctr</v>
      </c>
      <c r="BB121" s="3" t="b">
        <f t="shared" si="25"/>
        <v>1</v>
      </c>
      <c r="BC121" s="3"/>
      <c r="BD121" s="3" t="str">
        <f>GenBS!A121</f>
        <v>Southern Ohio Educ Srv Ctr</v>
      </c>
      <c r="BE121" s="16" t="b">
        <f t="shared" si="26"/>
        <v>1</v>
      </c>
      <c r="BG121" s="3" t="str">
        <f t="shared" si="27"/>
        <v>Clinton</v>
      </c>
      <c r="BH121" s="16" t="b">
        <f t="shared" si="28"/>
        <v>1</v>
      </c>
      <c r="BJ121" s="16" t="b">
        <f>C121=GenBS!C121</f>
        <v>1</v>
      </c>
    </row>
    <row r="122" spans="1:62">
      <c r="A122" s="16" t="s">
        <v>419</v>
      </c>
      <c r="B122" s="16"/>
      <c r="C122" s="16" t="s">
        <v>199</v>
      </c>
      <c r="E122" s="16">
        <v>49825</v>
      </c>
      <c r="G122" s="3">
        <v>0</v>
      </c>
      <c r="H122" s="3"/>
      <c r="I122" s="3">
        <f>3266128+39071</f>
        <v>3305199</v>
      </c>
      <c r="J122" s="3"/>
      <c r="K122" s="3">
        <v>17403</v>
      </c>
      <c r="L122" s="3"/>
      <c r="M122" s="3">
        <f>8046378+5339458</f>
        <v>13385836</v>
      </c>
      <c r="N122" s="3"/>
      <c r="O122" s="3">
        <v>0</v>
      </c>
      <c r="P122" s="3"/>
      <c r="Q122" s="3">
        <v>0</v>
      </c>
      <c r="R122" s="3"/>
      <c r="S122" s="3">
        <v>12466</v>
      </c>
      <c r="T122" s="3"/>
      <c r="U122" s="3">
        <f>188471+66428</f>
        <v>254899</v>
      </c>
      <c r="V122" s="3"/>
      <c r="W122" s="8">
        <f t="shared" si="22"/>
        <v>16975803</v>
      </c>
      <c r="X122" s="3"/>
      <c r="Y122" s="3">
        <v>0</v>
      </c>
      <c r="Z122" s="3"/>
      <c r="AA122" s="3">
        <v>0</v>
      </c>
      <c r="AB122" s="3"/>
      <c r="AC122" s="3">
        <v>0</v>
      </c>
      <c r="AD122" s="3"/>
      <c r="AE122" s="16" t="s">
        <v>419</v>
      </c>
      <c r="AF122" s="16"/>
      <c r="AG122" s="16" t="s">
        <v>199</v>
      </c>
      <c r="AH122" s="3"/>
      <c r="AI122" s="3">
        <v>0</v>
      </c>
      <c r="AJ122" s="3"/>
      <c r="AK122" s="3">
        <v>0</v>
      </c>
      <c r="AL122" s="3"/>
      <c r="AM122" s="3">
        <v>286</v>
      </c>
      <c r="AN122" s="3"/>
      <c r="AO122" s="3">
        <v>0</v>
      </c>
      <c r="AP122" s="3"/>
      <c r="AQ122" s="3">
        <v>0</v>
      </c>
      <c r="AR122" s="3"/>
      <c r="AS122" s="3">
        <v>0</v>
      </c>
      <c r="AT122" s="3"/>
      <c r="AU122" s="3">
        <f t="shared" si="31"/>
        <v>286</v>
      </c>
      <c r="AV122" s="3"/>
      <c r="AW122" s="3">
        <f t="shared" si="23"/>
        <v>16976089</v>
      </c>
      <c r="AZ122" s="30"/>
      <c r="BA122" s="3" t="str">
        <f t="shared" si="24"/>
        <v xml:space="preserve">Stark County Educ Srv Ctr  </v>
      </c>
      <c r="BB122" s="3" t="b">
        <f t="shared" si="25"/>
        <v>1</v>
      </c>
      <c r="BC122" s="3"/>
      <c r="BD122" s="3" t="str">
        <f>GenBS!A122</f>
        <v xml:space="preserve">Stark County Educ Srv Ctr  </v>
      </c>
      <c r="BE122" s="16" t="b">
        <f t="shared" si="26"/>
        <v>1</v>
      </c>
      <c r="BG122" s="3" t="str">
        <f t="shared" si="27"/>
        <v>Stark</v>
      </c>
      <c r="BH122" s="16" t="b">
        <f t="shared" si="28"/>
        <v>1</v>
      </c>
      <c r="BJ122" s="16" t="b">
        <f>C122=GenBS!C122</f>
        <v>1</v>
      </c>
    </row>
    <row r="123" spans="1:62">
      <c r="A123" s="3" t="s">
        <v>420</v>
      </c>
      <c r="B123" s="16"/>
      <c r="C123" s="16" t="s">
        <v>200</v>
      </c>
      <c r="E123" s="16">
        <v>49965</v>
      </c>
      <c r="G123" s="3">
        <v>0</v>
      </c>
      <c r="H123" s="3"/>
      <c r="I123" s="3">
        <v>2299325</v>
      </c>
      <c r="J123" s="3"/>
      <c r="K123" s="3">
        <v>9617</v>
      </c>
      <c r="L123" s="3"/>
      <c r="M123" s="3">
        <f>2989405+7394146</f>
        <v>10383551</v>
      </c>
      <c r="N123" s="3"/>
      <c r="O123" s="3">
        <v>0</v>
      </c>
      <c r="P123" s="3"/>
      <c r="Q123" s="3">
        <v>0</v>
      </c>
      <c r="R123" s="3"/>
      <c r="S123" s="3">
        <v>0</v>
      </c>
      <c r="T123" s="3"/>
      <c r="U123" s="3">
        <v>559</v>
      </c>
      <c r="V123" s="3"/>
      <c r="W123" s="8">
        <f t="shared" si="22"/>
        <v>12693052</v>
      </c>
      <c r="X123" s="3"/>
      <c r="Y123" s="3">
        <v>0</v>
      </c>
      <c r="Z123" s="3"/>
      <c r="AA123" s="3">
        <v>0</v>
      </c>
      <c r="AB123" s="3"/>
      <c r="AC123" s="3">
        <v>0</v>
      </c>
      <c r="AD123" s="3"/>
      <c r="AE123" s="3" t="s">
        <v>420</v>
      </c>
      <c r="AF123" s="16"/>
      <c r="AG123" s="16" t="s">
        <v>200</v>
      </c>
      <c r="AH123" s="3"/>
      <c r="AI123" s="3">
        <v>0</v>
      </c>
      <c r="AJ123" s="3"/>
      <c r="AK123" s="3">
        <v>0</v>
      </c>
      <c r="AL123" s="3"/>
      <c r="AM123" s="3">
        <v>0</v>
      </c>
      <c r="AN123" s="3"/>
      <c r="AO123" s="3">
        <v>0</v>
      </c>
      <c r="AP123" s="3"/>
      <c r="AQ123" s="3">
        <v>0</v>
      </c>
      <c r="AR123" s="3"/>
      <c r="AS123" s="3">
        <v>0</v>
      </c>
      <c r="AT123" s="3"/>
      <c r="AU123" s="3">
        <f t="shared" si="31"/>
        <v>0</v>
      </c>
      <c r="AV123" s="3"/>
      <c r="AW123" s="3">
        <f t="shared" si="23"/>
        <v>12693052</v>
      </c>
      <c r="AZ123" s="32" t="s">
        <v>305</v>
      </c>
      <c r="BA123" s="3" t="str">
        <f t="shared" si="24"/>
        <v>Summit County Educ Srv Ctr</v>
      </c>
      <c r="BB123" s="3" t="b">
        <f t="shared" si="25"/>
        <v>1</v>
      </c>
      <c r="BC123" s="3"/>
      <c r="BD123" s="3" t="str">
        <f>GenBS!A123</f>
        <v>Summit County Educ Srv Ctr</v>
      </c>
      <c r="BE123" s="16" t="b">
        <f t="shared" si="26"/>
        <v>1</v>
      </c>
      <c r="BG123" s="3" t="str">
        <f t="shared" si="27"/>
        <v>Summit</v>
      </c>
      <c r="BH123" s="16" t="b">
        <f t="shared" si="28"/>
        <v>1</v>
      </c>
      <c r="BJ123" s="16" t="b">
        <f>C123=GenBS!C123</f>
        <v>1</v>
      </c>
    </row>
    <row r="124" spans="1:62">
      <c r="A124" s="3" t="s">
        <v>207</v>
      </c>
      <c r="B124" s="16"/>
      <c r="C124" s="16" t="s">
        <v>208</v>
      </c>
      <c r="E124" s="16">
        <v>50526</v>
      </c>
      <c r="G124" s="3">
        <v>0</v>
      </c>
      <c r="H124" s="3"/>
      <c r="I124" s="3">
        <f>4000+3211820</f>
        <v>3215820</v>
      </c>
      <c r="J124" s="3"/>
      <c r="K124" s="3">
        <v>2948</v>
      </c>
      <c r="L124" s="3"/>
      <c r="M124" s="3">
        <f>8092442+1725843</f>
        <v>9818285</v>
      </c>
      <c r="N124" s="3"/>
      <c r="O124" s="3">
        <v>0</v>
      </c>
      <c r="P124" s="3"/>
      <c r="Q124" s="3">
        <v>0</v>
      </c>
      <c r="R124" s="3"/>
      <c r="S124" s="3">
        <v>42240</v>
      </c>
      <c r="T124" s="3"/>
      <c r="U124" s="3">
        <v>44936</v>
      </c>
      <c r="V124" s="3"/>
      <c r="W124" s="8">
        <f t="shared" si="22"/>
        <v>13124229</v>
      </c>
      <c r="X124" s="3"/>
      <c r="Y124" s="3">
        <v>12405</v>
      </c>
      <c r="Z124" s="3"/>
      <c r="AA124" s="3">
        <v>0</v>
      </c>
      <c r="AB124" s="3"/>
      <c r="AC124" s="3">
        <v>0</v>
      </c>
      <c r="AD124" s="3"/>
      <c r="AE124" s="3" t="s">
        <v>207</v>
      </c>
      <c r="AF124" s="16"/>
      <c r="AG124" s="16" t="s">
        <v>208</v>
      </c>
      <c r="AH124" s="3"/>
      <c r="AI124" s="3">
        <v>0</v>
      </c>
      <c r="AJ124" s="3"/>
      <c r="AK124" s="3">
        <v>0</v>
      </c>
      <c r="AL124" s="3"/>
      <c r="AM124" s="3">
        <v>0</v>
      </c>
      <c r="AN124" s="3"/>
      <c r="AO124" s="3">
        <v>0</v>
      </c>
      <c r="AP124" s="3"/>
      <c r="AQ124" s="3">
        <v>0</v>
      </c>
      <c r="AR124" s="3"/>
      <c r="AS124" s="3">
        <v>0</v>
      </c>
      <c r="AT124" s="3"/>
      <c r="AU124" s="3">
        <f t="shared" si="31"/>
        <v>12405</v>
      </c>
      <c r="AV124" s="3"/>
      <c r="AW124" s="3">
        <f t="shared" si="23"/>
        <v>13136634</v>
      </c>
      <c r="AZ124" s="32"/>
      <c r="BA124" s="3" t="str">
        <f t="shared" si="24"/>
        <v>Tri-County Educ Srv Ctr</v>
      </c>
      <c r="BB124" s="3" t="b">
        <f t="shared" si="25"/>
        <v>1</v>
      </c>
      <c r="BC124" s="3"/>
      <c r="BD124" s="3" t="str">
        <f>GenBS!A124</f>
        <v>Tri-County Educ Srv Ctr</v>
      </c>
      <c r="BE124" s="16" t="b">
        <f t="shared" si="26"/>
        <v>1</v>
      </c>
      <c r="BG124" s="3" t="str">
        <f t="shared" si="27"/>
        <v>Wayne</v>
      </c>
      <c r="BH124" s="16" t="b">
        <f t="shared" si="28"/>
        <v>1</v>
      </c>
      <c r="BJ124" s="16" t="b">
        <f>C124=GenBS!C124</f>
        <v>1</v>
      </c>
    </row>
    <row r="125" spans="1:62">
      <c r="A125" s="3" t="s">
        <v>422</v>
      </c>
      <c r="B125" s="16"/>
      <c r="C125" s="16" t="s">
        <v>201</v>
      </c>
      <c r="E125" s="16">
        <v>50088</v>
      </c>
      <c r="G125" s="3">
        <v>0</v>
      </c>
      <c r="H125" s="3"/>
      <c r="I125" s="3">
        <f>2130219+16921</f>
        <v>2147140</v>
      </c>
      <c r="J125" s="3"/>
      <c r="K125" s="3">
        <v>70406</v>
      </c>
      <c r="L125" s="3"/>
      <c r="M125" s="3">
        <f>13289712+16217</f>
        <v>13305929</v>
      </c>
      <c r="N125" s="3"/>
      <c r="O125" s="3">
        <v>0</v>
      </c>
      <c r="P125" s="3"/>
      <c r="Q125" s="3">
        <v>0</v>
      </c>
      <c r="R125" s="3"/>
      <c r="S125" s="3">
        <v>15755</v>
      </c>
      <c r="T125" s="3"/>
      <c r="U125" s="3">
        <v>20054</v>
      </c>
      <c r="V125" s="3"/>
      <c r="W125" s="8">
        <f t="shared" si="22"/>
        <v>15559284</v>
      </c>
      <c r="X125" s="3"/>
      <c r="Y125" s="3">
        <v>0</v>
      </c>
      <c r="Z125" s="3"/>
      <c r="AA125" s="3">
        <v>0</v>
      </c>
      <c r="AB125" s="3"/>
      <c r="AC125" s="3">
        <v>0</v>
      </c>
      <c r="AD125" s="3"/>
      <c r="AE125" s="3" t="s">
        <v>422</v>
      </c>
      <c r="AF125" s="16"/>
      <c r="AG125" s="16" t="s">
        <v>201</v>
      </c>
      <c r="AH125" s="3"/>
      <c r="AI125" s="3">
        <v>0</v>
      </c>
      <c r="AJ125" s="3"/>
      <c r="AK125" s="3">
        <v>41231</v>
      </c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v>0</v>
      </c>
      <c r="AT125" s="3"/>
      <c r="AU125" s="3">
        <f t="shared" si="31"/>
        <v>41231</v>
      </c>
      <c r="AV125" s="3"/>
      <c r="AW125" s="3">
        <f t="shared" si="23"/>
        <v>15600515</v>
      </c>
      <c r="AZ125" s="3"/>
      <c r="BA125" s="3" t="str">
        <f t="shared" si="24"/>
        <v>Trumbull County Educ Srv Ctr</v>
      </c>
      <c r="BB125" s="3" t="b">
        <f t="shared" si="25"/>
        <v>1</v>
      </c>
      <c r="BC125" s="3"/>
      <c r="BD125" s="3" t="str">
        <f>GenBS!A125</f>
        <v>Trumbull County Educ Srv Ctr</v>
      </c>
      <c r="BE125" s="16" t="b">
        <f t="shared" si="26"/>
        <v>1</v>
      </c>
      <c r="BG125" s="3" t="str">
        <f t="shared" si="27"/>
        <v>Trumbull</v>
      </c>
      <c r="BH125" s="16" t="b">
        <f t="shared" si="28"/>
        <v>1</v>
      </c>
      <c r="BJ125" s="16" t="b">
        <f>C125=GenBS!C125</f>
        <v>1</v>
      </c>
    </row>
    <row r="126" spans="1:62" s="72" customFormat="1" hidden="1">
      <c r="A126" s="65" t="s">
        <v>342</v>
      </c>
      <c r="B126" s="66"/>
      <c r="C126" s="66" t="s">
        <v>202</v>
      </c>
      <c r="E126" s="66">
        <v>50260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70">
        <f t="shared" si="22"/>
        <v>0</v>
      </c>
      <c r="X126" s="65"/>
      <c r="Y126" s="65"/>
      <c r="Z126" s="65"/>
      <c r="AA126" s="65"/>
      <c r="AB126" s="65"/>
      <c r="AC126" s="65"/>
      <c r="AD126" s="65"/>
      <c r="AE126" s="65" t="s">
        <v>342</v>
      </c>
      <c r="AF126" s="66"/>
      <c r="AG126" s="66" t="s">
        <v>202</v>
      </c>
      <c r="AH126" s="65"/>
      <c r="AI126" s="65"/>
      <c r="AJ126" s="65"/>
      <c r="AK126" s="65"/>
      <c r="AL126" s="65"/>
      <c r="AM126" s="65"/>
      <c r="AN126" s="65"/>
      <c r="AO126" s="3">
        <v>0</v>
      </c>
      <c r="AP126" s="65"/>
      <c r="AQ126" s="65"/>
      <c r="AR126" s="65"/>
      <c r="AS126" s="65"/>
      <c r="AT126" s="65"/>
      <c r="AU126" s="65">
        <f t="shared" si="31"/>
        <v>0</v>
      </c>
      <c r="AV126" s="65"/>
      <c r="AW126" s="65">
        <f t="shared" si="23"/>
        <v>0</v>
      </c>
      <c r="AZ126" s="65"/>
      <c r="BA126" s="65" t="str">
        <f t="shared" si="24"/>
        <v>Tuscarawas-Carroll-Harrison Educ Srv Ctr - now East Ctl OH ESC</v>
      </c>
      <c r="BB126" s="65" t="b">
        <f t="shared" si="25"/>
        <v>1</v>
      </c>
      <c r="BC126" s="65"/>
      <c r="BD126" s="65" t="str">
        <f>GenBS!A126</f>
        <v>Tuscarawas-Carroll-Harrison Educ Srv Ctr - now East Ctl OH ESC</v>
      </c>
      <c r="BE126" s="66" t="b">
        <f t="shared" si="26"/>
        <v>1</v>
      </c>
      <c r="BG126" s="65" t="str">
        <f t="shared" si="27"/>
        <v>Tuscarawas</v>
      </c>
      <c r="BH126" s="66" t="b">
        <f t="shared" si="28"/>
        <v>1</v>
      </c>
      <c r="BJ126" s="66" t="b">
        <f>C126=GenBS!C126</f>
        <v>1</v>
      </c>
    </row>
    <row r="127" spans="1:62" s="72" customFormat="1" hidden="1">
      <c r="A127" s="65" t="s">
        <v>424</v>
      </c>
      <c r="B127" s="66"/>
      <c r="C127" s="66" t="s">
        <v>205</v>
      </c>
      <c r="E127" s="66">
        <v>50401</v>
      </c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70">
        <f t="shared" si="22"/>
        <v>0</v>
      </c>
      <c r="X127" s="65"/>
      <c r="Y127" s="65"/>
      <c r="Z127" s="65"/>
      <c r="AA127" s="65"/>
      <c r="AB127" s="65"/>
      <c r="AC127" s="65"/>
      <c r="AD127" s="65"/>
      <c r="AE127" s="65" t="s">
        <v>424</v>
      </c>
      <c r="AF127" s="66"/>
      <c r="AG127" s="66" t="s">
        <v>205</v>
      </c>
      <c r="AH127" s="65"/>
      <c r="AI127" s="65"/>
      <c r="AJ127" s="65"/>
      <c r="AK127" s="65"/>
      <c r="AL127" s="65"/>
      <c r="AM127" s="65"/>
      <c r="AN127" s="65"/>
      <c r="AO127" s="3">
        <v>0</v>
      </c>
      <c r="AP127" s="65"/>
      <c r="AQ127" s="65"/>
      <c r="AR127" s="65"/>
      <c r="AS127" s="65"/>
      <c r="AT127" s="65"/>
      <c r="AU127" s="65">
        <f t="shared" si="31"/>
        <v>0</v>
      </c>
      <c r="AV127" s="65"/>
      <c r="AW127" s="65">
        <f t="shared" si="23"/>
        <v>0</v>
      </c>
      <c r="AZ127" s="80" t="s">
        <v>410</v>
      </c>
      <c r="BA127" s="65" t="str">
        <f t="shared" si="24"/>
        <v>Warren County Educ Srv Ctr (CASH)</v>
      </c>
      <c r="BB127" s="65" t="b">
        <f t="shared" si="25"/>
        <v>1</v>
      </c>
      <c r="BC127" s="65"/>
      <c r="BD127" s="65" t="str">
        <f>GenBS!A127</f>
        <v>Warren County Educ Srv Ctr (CASH)</v>
      </c>
      <c r="BE127" s="66" t="b">
        <f t="shared" si="26"/>
        <v>1</v>
      </c>
      <c r="BG127" s="65" t="str">
        <f t="shared" si="27"/>
        <v>Warren</v>
      </c>
      <c r="BH127" s="66" t="b">
        <f t="shared" si="28"/>
        <v>1</v>
      </c>
      <c r="BJ127" s="66" t="b">
        <f>C127=GenBS!C127</f>
        <v>1</v>
      </c>
    </row>
    <row r="128" spans="1:62" s="72" customFormat="1" hidden="1">
      <c r="A128" s="65" t="s">
        <v>343</v>
      </c>
      <c r="B128" s="66"/>
      <c r="C128" s="66" t="s">
        <v>206</v>
      </c>
      <c r="E128" s="66">
        <v>50476</v>
      </c>
      <c r="G128" s="65"/>
      <c r="H128" s="65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65"/>
      <c r="W128" s="70">
        <f t="shared" si="22"/>
        <v>0</v>
      </c>
      <c r="X128" s="65"/>
      <c r="Y128" s="65"/>
      <c r="Z128" s="65"/>
      <c r="AA128" s="65"/>
      <c r="AB128" s="65"/>
      <c r="AC128" s="65"/>
      <c r="AD128" s="65"/>
      <c r="AE128" s="65" t="s">
        <v>343</v>
      </c>
      <c r="AF128" s="66"/>
      <c r="AG128" s="66" t="s">
        <v>206</v>
      </c>
      <c r="AH128" s="65"/>
      <c r="AI128" s="65"/>
      <c r="AJ128" s="65"/>
      <c r="AK128" s="65"/>
      <c r="AL128" s="65"/>
      <c r="AM128" s="65"/>
      <c r="AN128" s="65"/>
      <c r="AO128" s="3">
        <v>0</v>
      </c>
      <c r="AP128" s="65"/>
      <c r="AQ128" s="65"/>
      <c r="AR128" s="65"/>
      <c r="AS128" s="65"/>
      <c r="AT128" s="65"/>
      <c r="AU128" s="65">
        <f t="shared" si="31"/>
        <v>0</v>
      </c>
      <c r="AV128" s="65"/>
      <c r="AW128" s="65">
        <f t="shared" si="23"/>
        <v>0</v>
      </c>
      <c r="AZ128" s="66"/>
      <c r="BA128" s="65" t="str">
        <f t="shared" si="24"/>
        <v>Washington Educ Srv Ctr - merged with Ohio Valley ESC</v>
      </c>
      <c r="BB128" s="65" t="b">
        <f t="shared" si="25"/>
        <v>1</v>
      </c>
      <c r="BC128" s="65"/>
      <c r="BD128" s="65" t="str">
        <f>GenBS!A128</f>
        <v>Washington Educ Srv Ctr - merged with Ohio Valley ESC</v>
      </c>
      <c r="BE128" s="66" t="b">
        <f t="shared" si="26"/>
        <v>1</v>
      </c>
      <c r="BG128" s="65" t="str">
        <f t="shared" si="27"/>
        <v>Washington</v>
      </c>
      <c r="BH128" s="66" t="b">
        <f t="shared" si="28"/>
        <v>1</v>
      </c>
      <c r="BJ128" s="66" t="b">
        <f>C128=GenBS!C128</f>
        <v>1</v>
      </c>
    </row>
    <row r="129" spans="1:62">
      <c r="A129" s="3" t="s">
        <v>203</v>
      </c>
      <c r="B129" s="16"/>
      <c r="C129" s="16" t="s">
        <v>270</v>
      </c>
      <c r="E129" s="16">
        <v>134999</v>
      </c>
      <c r="G129" s="3">
        <v>0</v>
      </c>
      <c r="H129" s="3"/>
      <c r="I129" s="3">
        <v>817552</v>
      </c>
      <c r="J129" s="3"/>
      <c r="K129" s="3">
        <v>4104</v>
      </c>
      <c r="L129" s="3"/>
      <c r="M129" s="3">
        <v>359925</v>
      </c>
      <c r="N129" s="3"/>
      <c r="O129" s="3">
        <v>0</v>
      </c>
      <c r="P129" s="3"/>
      <c r="Q129" s="3">
        <v>0</v>
      </c>
      <c r="R129" s="3"/>
      <c r="S129" s="3">
        <v>0</v>
      </c>
      <c r="T129" s="3"/>
      <c r="U129" s="3">
        <f>2785213+19137</f>
        <v>2804350</v>
      </c>
      <c r="V129" s="3"/>
      <c r="W129" s="8">
        <f>SUM(G129:V129)</f>
        <v>3985931</v>
      </c>
      <c r="X129" s="3"/>
      <c r="Y129" s="3">
        <v>0</v>
      </c>
      <c r="Z129" s="3"/>
      <c r="AA129" s="3">
        <v>0</v>
      </c>
      <c r="AB129" s="3"/>
      <c r="AC129" s="3">
        <v>0</v>
      </c>
      <c r="AD129" s="3"/>
      <c r="AE129" s="3" t="s">
        <v>203</v>
      </c>
      <c r="AF129" s="16"/>
      <c r="AG129" s="16" t="s">
        <v>270</v>
      </c>
      <c r="AH129" s="3"/>
      <c r="AI129" s="3">
        <v>0</v>
      </c>
      <c r="AJ129" s="3"/>
      <c r="AK129" s="3">
        <v>0</v>
      </c>
      <c r="AL129" s="3"/>
      <c r="AM129" s="3">
        <v>0</v>
      </c>
      <c r="AN129" s="3"/>
      <c r="AO129" s="3">
        <v>0</v>
      </c>
      <c r="AP129" s="3"/>
      <c r="AQ129" s="3">
        <v>0</v>
      </c>
      <c r="AR129" s="3"/>
      <c r="AS129" s="3">
        <v>0</v>
      </c>
      <c r="AT129" s="3"/>
      <c r="AU129" s="3">
        <f t="shared" si="31"/>
        <v>0</v>
      </c>
      <c r="AV129" s="3"/>
      <c r="AW129" s="3">
        <f t="shared" si="23"/>
        <v>3985931</v>
      </c>
      <c r="AZ129" s="3"/>
      <c r="BA129" s="3" t="str">
        <f t="shared" si="24"/>
        <v>Western Buckeye Educ Srv Ctr</v>
      </c>
      <c r="BB129" s="3" t="b">
        <f t="shared" si="25"/>
        <v>1</v>
      </c>
      <c r="BC129" s="3"/>
      <c r="BD129" s="3" t="str">
        <f>GenBS!A129</f>
        <v>Western Buckeye Educ Srv Ctr</v>
      </c>
      <c r="BE129" s="16" t="b">
        <f t="shared" si="26"/>
        <v>1</v>
      </c>
      <c r="BG129" s="3" t="str">
        <f t="shared" si="27"/>
        <v>Paulding</v>
      </c>
      <c r="BH129" s="16" t="b">
        <f t="shared" si="28"/>
        <v>1</v>
      </c>
      <c r="BJ129" s="16" t="b">
        <f>C129=GenBS!C129</f>
        <v>1</v>
      </c>
    </row>
    <row r="130" spans="1:62">
      <c r="A130" s="3" t="s">
        <v>423</v>
      </c>
      <c r="B130" s="16"/>
      <c r="C130" s="16" t="s">
        <v>209</v>
      </c>
      <c r="E130" s="16">
        <v>50666</v>
      </c>
      <c r="G130" s="3">
        <v>0</v>
      </c>
      <c r="H130" s="3"/>
      <c r="I130" s="3">
        <v>1469165</v>
      </c>
      <c r="J130" s="3"/>
      <c r="K130" s="3">
        <v>58769</v>
      </c>
      <c r="L130" s="3"/>
      <c r="M130" s="3">
        <v>559247</v>
      </c>
      <c r="N130" s="3"/>
      <c r="O130" s="3">
        <v>0</v>
      </c>
      <c r="P130" s="3"/>
      <c r="Q130" s="3">
        <v>0</v>
      </c>
      <c r="R130" s="3"/>
      <c r="S130" s="3">
        <v>4050</v>
      </c>
      <c r="T130" s="3"/>
      <c r="U130" s="3">
        <f>169637+9589473</f>
        <v>9759110</v>
      </c>
      <c r="V130" s="3"/>
      <c r="W130" s="8">
        <f t="shared" si="22"/>
        <v>11850341</v>
      </c>
      <c r="X130" s="3"/>
      <c r="Y130" s="3">
        <v>0</v>
      </c>
      <c r="Z130" s="3"/>
      <c r="AA130" s="3">
        <v>0</v>
      </c>
      <c r="AB130" s="3"/>
      <c r="AC130" s="3">
        <v>0</v>
      </c>
      <c r="AD130" s="3"/>
      <c r="AE130" s="3" t="s">
        <v>423</v>
      </c>
      <c r="AF130" s="16"/>
      <c r="AG130" s="16" t="s">
        <v>209</v>
      </c>
      <c r="AH130" s="3"/>
      <c r="AI130" s="3">
        <v>0</v>
      </c>
      <c r="AJ130" s="3"/>
      <c r="AK130" s="3">
        <v>0</v>
      </c>
      <c r="AL130" s="3"/>
      <c r="AM130" s="3">
        <v>0</v>
      </c>
      <c r="AN130" s="3"/>
      <c r="AO130" s="3">
        <v>0</v>
      </c>
      <c r="AP130" s="3"/>
      <c r="AQ130" s="3">
        <v>0</v>
      </c>
      <c r="AR130" s="3"/>
      <c r="AS130" s="3">
        <v>0</v>
      </c>
      <c r="AT130" s="3"/>
      <c r="AU130" s="3">
        <f t="shared" si="31"/>
        <v>0</v>
      </c>
      <c r="AV130" s="3"/>
      <c r="AW130" s="3">
        <f t="shared" si="23"/>
        <v>11850341</v>
      </c>
      <c r="AZ130" s="3"/>
      <c r="BA130" s="3" t="str">
        <f t="shared" si="24"/>
        <v>Wood County Educ Srv Ctr</v>
      </c>
      <c r="BB130" s="3" t="b">
        <f t="shared" si="25"/>
        <v>1</v>
      </c>
      <c r="BC130" s="3"/>
      <c r="BD130" s="3" t="str">
        <f>GenBS!A130</f>
        <v>Wood County Educ Srv Ctr</v>
      </c>
      <c r="BE130" s="16" t="b">
        <f t="shared" si="26"/>
        <v>1</v>
      </c>
      <c r="BG130" s="3" t="str">
        <f t="shared" si="27"/>
        <v>Wood</v>
      </c>
      <c r="BH130" s="16" t="b">
        <f t="shared" si="28"/>
        <v>1</v>
      </c>
      <c r="BJ130" s="16" t="b">
        <f>C130=GenBS!C130</f>
        <v>1</v>
      </c>
    </row>
    <row r="131" spans="1:62">
      <c r="A131" s="16"/>
      <c r="B131" s="16"/>
      <c r="C131" s="16"/>
      <c r="E131" s="1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8"/>
      <c r="X131" s="3"/>
      <c r="Y131" s="3"/>
      <c r="Z131" s="3"/>
      <c r="AA131" s="3"/>
      <c r="AB131" s="3"/>
      <c r="AC131" s="3"/>
      <c r="AD131" s="3"/>
      <c r="AE131" s="16"/>
      <c r="AF131" s="16"/>
      <c r="AG131" s="16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62">
      <c r="AA132" s="39" t="s">
        <v>266</v>
      </c>
      <c r="AB132" s="39"/>
      <c r="AC132" s="17" t="s">
        <v>266</v>
      </c>
    </row>
    <row r="134" spans="1:62">
      <c r="A134" s="103"/>
      <c r="B134" s="103"/>
      <c r="C134" s="103"/>
      <c r="D134" s="103"/>
      <c r="E134" s="103"/>
      <c r="F134" s="103"/>
      <c r="G134" s="103"/>
      <c r="H134" s="103"/>
    </row>
  </sheetData>
  <mergeCells count="2">
    <mergeCell ref="A134:H134"/>
    <mergeCell ref="A65:H65"/>
  </mergeCells>
  <phoneticPr fontId="3" type="noConversion"/>
  <pageMargins left="0.9" right="0.75" top="0.5" bottom="0.5" header="0.25" footer="0.25"/>
  <pageSetup scale="80" firstPageNumber="28" pageOrder="overThenDown" orientation="portrait" useFirstPageNumber="1" r:id="rId1"/>
  <headerFooter scaleWithDoc="0" alignWithMargins="0"/>
  <rowBreaks count="1" manualBreakCount="1">
    <brk id="66" max="48" man="1"/>
  </rowBreaks>
  <colBreaks count="4" manualBreakCount="4">
    <brk id="13" max="1048575" man="1"/>
    <brk id="30" max="1048575" man="1"/>
    <brk id="44" max="131" man="1"/>
    <brk id="52" min="1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CY1006"/>
  <sheetViews>
    <sheetView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3" sqref="A3"/>
    </sheetView>
  </sheetViews>
  <sheetFormatPr defaultRowHeight="12"/>
  <cols>
    <col min="1" max="1" width="40.7109375" style="33" customWidth="1"/>
    <col min="2" max="2" width="1.7109375" style="33" customWidth="1"/>
    <col min="3" max="3" width="11.7109375" style="33" customWidth="1"/>
    <col min="4" max="4" width="1.7109375" style="33" hidden="1" customWidth="1"/>
    <col min="5" max="5" width="6.140625" style="33" hidden="1" customWidth="1"/>
    <col min="6" max="6" width="1.7109375" style="33" customWidth="1"/>
    <col min="7" max="7" width="11.7109375" style="33" customWidth="1"/>
    <col min="8" max="8" width="1.28515625" style="33" customWidth="1"/>
    <col min="9" max="9" width="11.7109375" style="33" customWidth="1"/>
    <col min="10" max="10" width="1.28515625" style="33" customWidth="1"/>
    <col min="11" max="11" width="11.7109375" style="33" customWidth="1"/>
    <col min="12" max="12" width="1.28515625" style="33" customWidth="1"/>
    <col min="13" max="13" width="12.7109375" style="81" customWidth="1"/>
    <col min="14" max="14" width="1.28515625" style="33" customWidth="1"/>
    <col min="15" max="15" width="11.7109375" style="33" customWidth="1"/>
    <col min="16" max="16" width="1.28515625" style="33" customWidth="1"/>
    <col min="17" max="17" width="11.7109375" style="33" customWidth="1"/>
    <col min="18" max="18" width="1.28515625" style="33" customWidth="1"/>
    <col min="19" max="19" width="11.7109375" style="33" customWidth="1"/>
    <col min="20" max="20" width="1.28515625" style="33" customWidth="1"/>
    <col min="21" max="21" width="11.7109375" style="33" customWidth="1"/>
    <col min="22" max="22" width="1.28515625" style="33" customWidth="1"/>
    <col min="23" max="23" width="11.7109375" style="33" customWidth="1"/>
    <col min="24" max="24" width="1.28515625" style="33" customWidth="1"/>
    <col min="25" max="25" width="11.7109375" style="33" customWidth="1"/>
    <col min="26" max="26" width="1.28515625" style="33" customWidth="1"/>
    <col min="27" max="27" width="11.7109375" style="33" customWidth="1"/>
    <col min="28" max="28" width="1.28515625" style="33" customWidth="1"/>
    <col min="29" max="29" width="11.7109375" style="33" customWidth="1"/>
    <col min="30" max="30" width="40.7109375" style="33" customWidth="1"/>
    <col min="31" max="31" width="1.28515625" style="33" customWidth="1"/>
    <col min="32" max="32" width="10.7109375" style="33" customWidth="1"/>
    <col min="33" max="33" width="1.28515625" style="33" customWidth="1"/>
    <col min="34" max="34" width="11.42578125" style="33" bestFit="1" customWidth="1"/>
    <col min="35" max="35" width="1.28515625" style="33" customWidth="1"/>
    <col min="36" max="36" width="9.28515625" style="33" bestFit="1" customWidth="1"/>
    <col min="37" max="37" width="1.7109375" style="33" hidden="1" customWidth="1"/>
    <col min="38" max="38" width="10" style="33" hidden="1" customWidth="1"/>
    <col min="39" max="39" width="1.28515625" style="33" customWidth="1"/>
    <col min="40" max="40" width="13.42578125" style="33" bestFit="1" customWidth="1"/>
    <col min="41" max="41" width="1.28515625" style="33" customWidth="1"/>
    <col min="42" max="42" width="13.85546875" style="33" bestFit="1" customWidth="1"/>
    <col min="43" max="43" width="1.28515625" style="33" customWidth="1"/>
    <col min="44" max="44" width="11.7109375" style="33" customWidth="1"/>
    <col min="45" max="45" width="1.28515625" style="33" customWidth="1"/>
    <col min="46" max="46" width="11.7109375" style="33" customWidth="1"/>
    <col min="47" max="47" width="1.7109375" style="33" hidden="1" customWidth="1"/>
    <col min="48" max="48" width="11.7109375" style="33" hidden="1" customWidth="1"/>
    <col min="49" max="49" width="1.28515625" style="33" customWidth="1"/>
    <col min="50" max="50" width="11.7109375" style="33" customWidth="1"/>
    <col min="51" max="51" width="1.28515625" style="33" customWidth="1"/>
    <col min="52" max="52" width="11.7109375" style="33" customWidth="1"/>
    <col min="53" max="53" width="1.28515625" style="33" customWidth="1"/>
    <col min="54" max="54" width="11.7109375" style="33" customWidth="1"/>
    <col min="55" max="55" width="1.28515625" style="33" customWidth="1"/>
    <col min="56" max="56" width="11.7109375" style="33" customWidth="1"/>
    <col min="57" max="57" width="1.7109375" style="33" hidden="1" customWidth="1"/>
    <col min="58" max="58" width="10.7109375" style="33" hidden="1" customWidth="1"/>
    <col min="59" max="59" width="1.7109375" style="33" hidden="1" customWidth="1"/>
    <col min="60" max="60" width="11.7109375" style="33" hidden="1" customWidth="1"/>
    <col min="61" max="61" width="1.28515625" style="33" customWidth="1"/>
    <col min="62" max="62" width="10.7109375" style="33" customWidth="1"/>
    <col min="63" max="63" width="40.7109375" style="33" customWidth="1"/>
    <col min="64" max="64" width="1.28515625" style="33" customWidth="1"/>
    <col min="65" max="65" width="10.7109375" style="33" customWidth="1"/>
    <col min="66" max="66" width="1.28515625" style="33" customWidth="1"/>
    <col min="67" max="67" width="11.7109375" style="33" customWidth="1"/>
    <col min="68" max="68" width="1.28515625" style="33" customWidth="1"/>
    <col min="69" max="69" width="11.7109375" style="33" customWidth="1"/>
    <col min="70" max="70" width="1.28515625" style="33" customWidth="1"/>
    <col min="71" max="71" width="11.7109375" style="33" customWidth="1"/>
    <col min="72" max="72" width="1.28515625" style="33" customWidth="1"/>
    <col min="73" max="73" width="13.140625" style="33" customWidth="1"/>
    <col min="74" max="74" width="1.28515625" style="33" customWidth="1"/>
    <col min="75" max="75" width="11.7109375" style="33" customWidth="1"/>
    <col min="76" max="76" width="1.7109375" style="33" customWidth="1"/>
    <col min="77" max="77" width="11.7109375" style="33" customWidth="1"/>
    <col min="78" max="79" width="1.7109375" style="33" customWidth="1"/>
    <col min="80" max="80" width="20.42578125" style="33" customWidth="1"/>
    <col min="81" max="81" width="15.140625" style="16" customWidth="1"/>
    <col min="82" max="82" width="10.28515625" style="16" customWidth="1"/>
    <col min="83" max="83" width="13.5703125" style="16" customWidth="1"/>
    <col min="84" max="84" width="16.5703125" style="3" customWidth="1"/>
    <col min="85" max="85" width="11.7109375" style="16" customWidth="1"/>
    <col min="86" max="86" width="6.5703125" style="33" customWidth="1"/>
    <col min="87" max="89" width="9.140625" style="16"/>
    <col min="90" max="90" width="2.140625" style="33" customWidth="1"/>
    <col min="91" max="91" width="9.140625" style="16"/>
    <col min="92" max="16384" width="9.140625" style="33"/>
  </cols>
  <sheetData>
    <row r="1" spans="1:103" s="7" customFormat="1">
      <c r="A1" s="37" t="s">
        <v>112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1"/>
      <c r="M1" s="32"/>
      <c r="N1" s="41"/>
      <c r="O1" s="41"/>
      <c r="P1" s="4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7" t="s">
        <v>112</v>
      </c>
      <c r="AE1" s="37"/>
      <c r="AF1" s="37"/>
      <c r="AG1" s="3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42"/>
      <c r="AV1" s="42"/>
      <c r="AW1" s="42"/>
      <c r="AX1" s="42"/>
      <c r="BK1" s="37" t="s">
        <v>112</v>
      </c>
      <c r="BL1" s="37"/>
      <c r="BM1" s="37"/>
      <c r="BW1" s="47"/>
    </row>
    <row r="2" spans="1:103" s="7" customFormat="1">
      <c r="A2" s="37" t="s">
        <v>298</v>
      </c>
      <c r="B2" s="37"/>
      <c r="C2" s="37"/>
      <c r="D2" s="37"/>
      <c r="E2" s="37"/>
      <c r="F2" s="37"/>
      <c r="G2" s="37"/>
      <c r="H2" s="37"/>
      <c r="I2" s="41"/>
      <c r="J2" s="41"/>
      <c r="K2" s="1"/>
      <c r="L2" s="1"/>
      <c r="M2" s="3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7" t="s">
        <v>298</v>
      </c>
      <c r="AE2" s="37"/>
      <c r="AF2" s="37"/>
      <c r="AG2" s="3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42"/>
      <c r="AV2" s="42"/>
      <c r="AW2" s="42"/>
      <c r="AX2" s="42"/>
      <c r="BK2" s="37" t="s">
        <v>298</v>
      </c>
      <c r="BL2" s="37"/>
      <c r="BM2" s="37"/>
      <c r="BW2" s="47"/>
    </row>
    <row r="3" spans="1:103" s="3" customFormat="1">
      <c r="A3" s="4" t="s">
        <v>266</v>
      </c>
      <c r="B3" s="41"/>
      <c r="C3" s="41"/>
      <c r="D3" s="41"/>
      <c r="E3" s="41"/>
      <c r="F3" s="41"/>
      <c r="G3" s="41"/>
      <c r="H3" s="41"/>
      <c r="I3" s="41"/>
      <c r="J3" s="41"/>
      <c r="K3" s="1"/>
      <c r="L3" s="1"/>
      <c r="M3" s="3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 t="s">
        <v>266</v>
      </c>
      <c r="AE3" s="41"/>
      <c r="AF3" s="41"/>
      <c r="AG3" s="4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BK3" s="5" t="s">
        <v>266</v>
      </c>
      <c r="BL3" s="41"/>
      <c r="BM3" s="41"/>
      <c r="BW3" s="17"/>
    </row>
    <row r="4" spans="1:103" s="3" customFormat="1">
      <c r="A4" s="7" t="s">
        <v>269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3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7" t="s">
        <v>269</v>
      </c>
      <c r="AE4" s="4"/>
      <c r="AF4" s="4"/>
      <c r="AG4" s="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BK4" s="7" t="s">
        <v>269</v>
      </c>
      <c r="BL4" s="4"/>
      <c r="BM4" s="4"/>
      <c r="BU4" s="7"/>
      <c r="BW4" s="17"/>
    </row>
    <row r="5" spans="1:103" s="3" customFormat="1">
      <c r="A5" s="4"/>
      <c r="M5" s="32"/>
      <c r="BU5" s="7"/>
    </row>
    <row r="6" spans="1:103" s="7" customFormat="1">
      <c r="A6" s="35" t="s">
        <v>380</v>
      </c>
      <c r="B6" s="5"/>
      <c r="C6" s="5"/>
      <c r="D6" s="5"/>
      <c r="E6" s="5"/>
      <c r="F6" s="6"/>
      <c r="G6" s="6"/>
      <c r="H6" s="6"/>
      <c r="I6" s="6"/>
      <c r="J6" s="6"/>
      <c r="K6" s="6"/>
      <c r="L6" s="63"/>
      <c r="M6" s="48"/>
      <c r="N6" s="6"/>
      <c r="O6" s="11" t="s">
        <v>57</v>
      </c>
      <c r="P6" s="6"/>
      <c r="Q6" s="6"/>
      <c r="R6" s="6"/>
      <c r="S6" s="6"/>
      <c r="T6" s="6"/>
      <c r="U6" s="6"/>
      <c r="V6" s="6"/>
      <c r="W6" s="6"/>
      <c r="AD6" s="35" t="s">
        <v>380</v>
      </c>
      <c r="AE6" s="5"/>
      <c r="AF6" s="5"/>
      <c r="AG6" s="5"/>
      <c r="AN6" s="2"/>
      <c r="AP6" s="2"/>
      <c r="BK6" s="35" t="s">
        <v>380</v>
      </c>
      <c r="BL6" s="5"/>
      <c r="BM6" s="5"/>
    </row>
    <row r="7" spans="1:103" s="3" customFormat="1">
      <c r="A7" s="77"/>
      <c r="B7" s="7"/>
      <c r="C7" s="7"/>
      <c r="D7" s="7"/>
      <c r="E7" s="7"/>
      <c r="G7" s="101" t="s">
        <v>57</v>
      </c>
      <c r="H7" s="101"/>
      <c r="I7" s="101"/>
      <c r="J7" s="101"/>
      <c r="K7" s="101"/>
      <c r="L7" s="101"/>
      <c r="M7" s="101"/>
      <c r="N7" s="48"/>
      <c r="O7" s="43" t="s">
        <v>428</v>
      </c>
      <c r="Q7" s="101" t="s">
        <v>58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77"/>
      <c r="AE7" s="7"/>
      <c r="AF7" s="7"/>
      <c r="AG7" s="7"/>
      <c r="AH7" s="101" t="s">
        <v>429</v>
      </c>
      <c r="AI7" s="101"/>
      <c r="AJ7" s="101"/>
      <c r="AK7" s="44"/>
      <c r="AL7" s="44"/>
      <c r="AN7" s="101" t="s">
        <v>296</v>
      </c>
      <c r="AO7" s="101"/>
      <c r="AP7" s="101"/>
      <c r="AX7" s="101" t="s">
        <v>113</v>
      </c>
      <c r="AY7" s="101"/>
      <c r="AZ7" s="101"/>
      <c r="BA7" s="48"/>
      <c r="BD7" s="43" t="s">
        <v>114</v>
      </c>
      <c r="BE7" s="43"/>
      <c r="BF7" s="43"/>
      <c r="BG7" s="43"/>
      <c r="BH7" s="43"/>
      <c r="BI7" s="43"/>
      <c r="BJ7" s="43"/>
      <c r="BK7" s="77"/>
      <c r="BL7" s="7"/>
      <c r="BM7" s="7"/>
      <c r="BO7" s="11" t="s">
        <v>8</v>
      </c>
      <c r="BP7" s="11"/>
      <c r="BQ7" s="11" t="s">
        <v>115</v>
      </c>
      <c r="BR7" s="11"/>
      <c r="BS7" s="11" t="s">
        <v>94</v>
      </c>
      <c r="BT7" s="11"/>
      <c r="BU7" s="11" t="s">
        <v>246</v>
      </c>
      <c r="BV7" s="11"/>
      <c r="BW7" s="11" t="s">
        <v>94</v>
      </c>
      <c r="BX7" s="11"/>
      <c r="BY7" s="11" t="s">
        <v>4</v>
      </c>
    </row>
    <row r="8" spans="1:103" s="11" customFormat="1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2"/>
      <c r="AC8" s="11" t="s">
        <v>59</v>
      </c>
      <c r="AD8" s="35"/>
      <c r="BH8" s="11" t="s">
        <v>236</v>
      </c>
      <c r="BJ8" s="11" t="s">
        <v>116</v>
      </c>
      <c r="BK8" s="35"/>
      <c r="BO8" s="11" t="s">
        <v>117</v>
      </c>
      <c r="BQ8" s="11" t="s">
        <v>118</v>
      </c>
      <c r="BS8" s="11" t="s">
        <v>119</v>
      </c>
      <c r="BU8" s="11" t="s">
        <v>245</v>
      </c>
      <c r="BW8" s="11" t="s">
        <v>119</v>
      </c>
      <c r="BY8" s="11" t="s">
        <v>11</v>
      </c>
    </row>
    <row r="9" spans="1:103" s="11" customFormat="1">
      <c r="A9" s="35"/>
      <c r="B9" s="2"/>
      <c r="C9" s="2"/>
      <c r="D9" s="2"/>
      <c r="E9" s="2"/>
      <c r="G9" s="2"/>
      <c r="H9" s="2"/>
      <c r="I9" s="2"/>
      <c r="J9" s="2"/>
      <c r="K9" s="2"/>
      <c r="L9" s="2"/>
      <c r="M9" s="22"/>
      <c r="N9" s="2"/>
      <c r="O9" s="2"/>
      <c r="P9" s="2"/>
      <c r="Q9" s="2"/>
      <c r="R9" s="2"/>
      <c r="S9" s="2" t="s">
        <v>62</v>
      </c>
      <c r="T9" s="2"/>
      <c r="U9" s="2" t="s">
        <v>63</v>
      </c>
      <c r="V9" s="2"/>
      <c r="W9" s="2"/>
      <c r="X9" s="2"/>
      <c r="Y9" s="2"/>
      <c r="Z9" s="2"/>
      <c r="AA9" s="2"/>
      <c r="AB9" s="2"/>
      <c r="AC9" s="2" t="s">
        <v>64</v>
      </c>
      <c r="AD9" s="35"/>
      <c r="AE9" s="2"/>
      <c r="AF9" s="2"/>
      <c r="AG9" s="2"/>
      <c r="AH9" s="2" t="s">
        <v>65</v>
      </c>
      <c r="AI9" s="2"/>
      <c r="AJ9" s="2"/>
      <c r="AK9" s="2"/>
      <c r="AL9" s="2"/>
      <c r="AM9" s="2"/>
      <c r="AN9" s="11" t="s">
        <v>66</v>
      </c>
      <c r="AR9" s="11" t="s">
        <v>67</v>
      </c>
      <c r="AT9" s="11" t="s">
        <v>6</v>
      </c>
      <c r="AV9" s="11" t="s">
        <v>101</v>
      </c>
      <c r="AX9" s="11" t="s">
        <v>120</v>
      </c>
      <c r="BB9" s="11" t="s">
        <v>8</v>
      </c>
      <c r="BD9" s="11" t="s">
        <v>68</v>
      </c>
      <c r="BF9" s="11" t="s">
        <v>121</v>
      </c>
      <c r="BH9" s="11" t="s">
        <v>235</v>
      </c>
      <c r="BJ9" s="11" t="s">
        <v>85</v>
      </c>
      <c r="BK9" s="35"/>
      <c r="BL9" s="2"/>
      <c r="BM9" s="2"/>
      <c r="BO9" s="11" t="s">
        <v>41</v>
      </c>
      <c r="BQ9" s="11" t="s">
        <v>94</v>
      </c>
      <c r="BS9" s="2" t="s">
        <v>71</v>
      </c>
      <c r="BU9" s="11" t="s">
        <v>233</v>
      </c>
      <c r="BW9" s="2" t="s">
        <v>122</v>
      </c>
      <c r="BY9" s="11" t="s">
        <v>123</v>
      </c>
    </row>
    <row r="10" spans="1:103" s="11" customFormat="1">
      <c r="A10" s="31" t="s">
        <v>295</v>
      </c>
      <c r="C10" s="31" t="s">
        <v>12</v>
      </c>
      <c r="E10" s="31" t="s">
        <v>13</v>
      </c>
      <c r="G10" s="10" t="s">
        <v>432</v>
      </c>
      <c r="I10" s="10" t="s">
        <v>74</v>
      </c>
      <c r="K10" s="10" t="s">
        <v>75</v>
      </c>
      <c r="L10" s="2"/>
      <c r="M10" s="10" t="s">
        <v>379</v>
      </c>
      <c r="O10" s="10" t="s">
        <v>85</v>
      </c>
      <c r="Q10" s="10" t="s">
        <v>431</v>
      </c>
      <c r="S10" s="10" t="s">
        <v>76</v>
      </c>
      <c r="U10" s="10" t="s">
        <v>77</v>
      </c>
      <c r="W10" s="10" t="s">
        <v>78</v>
      </c>
      <c r="Y10" s="10" t="s">
        <v>79</v>
      </c>
      <c r="Z10" s="2"/>
      <c r="AA10" s="31" t="s">
        <v>80</v>
      </c>
      <c r="AC10" s="10" t="s">
        <v>81</v>
      </c>
      <c r="AD10" s="31" t="s">
        <v>295</v>
      </c>
      <c r="AF10" s="31" t="s">
        <v>12</v>
      </c>
      <c r="AG10" s="2"/>
      <c r="AH10" s="31" t="s">
        <v>82</v>
      </c>
      <c r="AI10" s="2"/>
      <c r="AJ10" s="31" t="s">
        <v>83</v>
      </c>
      <c r="AL10" s="31" t="s">
        <v>85</v>
      </c>
      <c r="AN10" s="31" t="s">
        <v>84</v>
      </c>
      <c r="AP10" s="62" t="s">
        <v>85</v>
      </c>
      <c r="AQ10" s="2"/>
      <c r="AR10" s="31" t="s">
        <v>51</v>
      </c>
      <c r="AS10" s="2"/>
      <c r="AT10" s="31" t="s">
        <v>124</v>
      </c>
      <c r="AU10" s="2"/>
      <c r="AV10" s="31" t="s">
        <v>106</v>
      </c>
      <c r="AW10" s="2"/>
      <c r="AX10" s="62" t="s">
        <v>433</v>
      </c>
      <c r="AY10" s="2"/>
      <c r="AZ10" s="31" t="s">
        <v>86</v>
      </c>
      <c r="BA10" s="31"/>
      <c r="BB10" s="31" t="s">
        <v>117</v>
      </c>
      <c r="BC10" s="87"/>
      <c r="BD10" s="31" t="s">
        <v>87</v>
      </c>
      <c r="BE10" s="2"/>
      <c r="BF10" s="31" t="s">
        <v>87</v>
      </c>
      <c r="BG10" s="2"/>
      <c r="BH10" s="87" t="s">
        <v>242</v>
      </c>
      <c r="BI10" s="2"/>
      <c r="BJ10" s="31" t="s">
        <v>125</v>
      </c>
      <c r="BK10" s="31" t="s">
        <v>295</v>
      </c>
      <c r="BM10" s="31" t="s">
        <v>12</v>
      </c>
      <c r="BN10" s="2"/>
      <c r="BO10" s="31" t="s">
        <v>126</v>
      </c>
      <c r="BP10" s="2"/>
      <c r="BQ10" s="31" t="s">
        <v>119</v>
      </c>
      <c r="BS10" s="31" t="s">
        <v>90</v>
      </c>
      <c r="BU10" s="87" t="s">
        <v>232</v>
      </c>
      <c r="BW10" s="31" t="s">
        <v>90</v>
      </c>
      <c r="BY10" s="31" t="s">
        <v>20</v>
      </c>
    </row>
    <row r="11" spans="1:103" s="11" customFormat="1">
      <c r="A11" s="2"/>
      <c r="C11" s="2"/>
      <c r="E11" s="2"/>
      <c r="G11" s="2"/>
      <c r="I11" s="2"/>
      <c r="K11" s="2"/>
      <c r="L11" s="2"/>
      <c r="M11" s="78"/>
      <c r="O11" s="2"/>
      <c r="Q11" s="2"/>
      <c r="S11" s="2"/>
      <c r="U11" s="2"/>
      <c r="W11" s="2"/>
      <c r="Y11" s="2"/>
      <c r="Z11" s="2"/>
      <c r="AA11" s="2"/>
      <c r="AC11" s="2"/>
      <c r="AH11" s="2"/>
      <c r="AI11" s="2"/>
      <c r="AJ11" s="2"/>
      <c r="AL11" s="2"/>
      <c r="AN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N11" s="2"/>
      <c r="BO11" s="2"/>
      <c r="BP11" s="2"/>
      <c r="BQ11" s="2"/>
      <c r="BS11" s="2"/>
      <c r="BU11" s="2"/>
      <c r="BW11" s="2"/>
      <c r="BY11" s="2"/>
      <c r="CC11" s="45" t="s">
        <v>354</v>
      </c>
      <c r="CD11" s="45" t="s">
        <v>355</v>
      </c>
      <c r="CE11" s="45" t="s">
        <v>356</v>
      </c>
      <c r="CF11" s="45" t="s">
        <v>353</v>
      </c>
      <c r="CG11" s="45"/>
      <c r="CH11" s="45"/>
      <c r="CI11" s="45" t="s">
        <v>365</v>
      </c>
      <c r="CJ11" s="45" t="s">
        <v>368</v>
      </c>
      <c r="CK11" s="45" t="s">
        <v>369</v>
      </c>
      <c r="CL11" s="45"/>
      <c r="CM11" s="45" t="s">
        <v>370</v>
      </c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</row>
    <row r="12" spans="1:103">
      <c r="A12" s="38" t="s">
        <v>264</v>
      </c>
      <c r="M12" s="32"/>
      <c r="AD12" s="38" t="s">
        <v>264</v>
      </c>
      <c r="BK12" s="38" t="s">
        <v>264</v>
      </c>
    </row>
    <row r="13" spans="1:103">
      <c r="A13" s="38"/>
      <c r="M13" s="32"/>
      <c r="AD13" s="38"/>
      <c r="BK13" s="38"/>
    </row>
    <row r="14" spans="1:103">
      <c r="A14" s="3" t="s">
        <v>306</v>
      </c>
      <c r="B14" s="3"/>
      <c r="C14" s="3" t="s">
        <v>272</v>
      </c>
      <c r="G14" s="20">
        <v>375168</v>
      </c>
      <c r="H14" s="20"/>
      <c r="I14" s="20">
        <v>161531</v>
      </c>
      <c r="J14" s="20"/>
      <c r="K14" s="20">
        <v>5721447</v>
      </c>
      <c r="L14" s="20"/>
      <c r="M14" s="78">
        <v>0</v>
      </c>
      <c r="N14" s="20"/>
      <c r="O14" s="20">
        <v>0</v>
      </c>
      <c r="P14" s="20"/>
      <c r="Q14" s="20">
        <v>651323</v>
      </c>
      <c r="R14" s="20"/>
      <c r="S14" s="20">
        <v>520446</v>
      </c>
      <c r="T14" s="20"/>
      <c r="U14" s="20">
        <v>47468</v>
      </c>
      <c r="V14" s="20"/>
      <c r="W14" s="20">
        <v>839647</v>
      </c>
      <c r="X14" s="20"/>
      <c r="Y14" s="20">
        <v>481569</v>
      </c>
      <c r="Z14" s="20"/>
      <c r="AA14" s="20">
        <v>0</v>
      </c>
      <c r="AB14" s="20"/>
      <c r="AC14" s="20">
        <v>1154072</v>
      </c>
      <c r="AD14" s="3" t="s">
        <v>306</v>
      </c>
      <c r="AE14" s="3"/>
      <c r="AF14" s="3" t="s">
        <v>272</v>
      </c>
      <c r="AG14" s="3"/>
      <c r="AH14" s="20">
        <v>11228</v>
      </c>
      <c r="AI14" s="20"/>
      <c r="AJ14" s="20">
        <v>409044</v>
      </c>
      <c r="AK14" s="20"/>
      <c r="AL14" s="20">
        <v>0</v>
      </c>
      <c r="AM14" s="92"/>
      <c r="AN14" s="20">
        <v>0</v>
      </c>
      <c r="AO14" s="20"/>
      <c r="AP14" s="20">
        <v>1400</v>
      </c>
      <c r="AQ14" s="20"/>
      <c r="AR14" s="20">
        <v>30581</v>
      </c>
      <c r="AS14" s="20"/>
      <c r="AT14" s="20">
        <v>0</v>
      </c>
      <c r="AU14" s="20"/>
      <c r="AV14" s="20">
        <v>0</v>
      </c>
      <c r="AW14" s="20"/>
      <c r="AX14" s="20">
        <v>0</v>
      </c>
      <c r="AY14" s="20"/>
      <c r="AZ14" s="20">
        <v>0</v>
      </c>
      <c r="BA14" s="20"/>
      <c r="BB14" s="20">
        <f t="shared" ref="BB14:BB27" si="0">SUM(G14:BA14)</f>
        <v>10404924</v>
      </c>
      <c r="BC14" s="20"/>
      <c r="BD14" s="20">
        <v>0</v>
      </c>
      <c r="BE14" s="20"/>
      <c r="BF14" s="20">
        <v>0</v>
      </c>
      <c r="BG14" s="20"/>
      <c r="BH14" s="20">
        <v>0</v>
      </c>
      <c r="BI14" s="20"/>
      <c r="BJ14" s="20">
        <v>0</v>
      </c>
      <c r="BK14" s="3" t="s">
        <v>306</v>
      </c>
      <c r="BL14" s="3"/>
      <c r="BM14" s="3" t="s">
        <v>272</v>
      </c>
      <c r="BN14" s="20"/>
      <c r="BO14" s="20">
        <f t="shared" ref="BO14:BO45" si="1">+BJ14+BF14+BD14+BB14</f>
        <v>10404924</v>
      </c>
      <c r="BP14" s="20"/>
      <c r="BQ14" s="20">
        <f>GenRev!AW14-BO14</f>
        <v>318506</v>
      </c>
      <c r="BR14" s="20"/>
      <c r="BS14" s="20">
        <v>4030355</v>
      </c>
      <c r="BT14" s="20"/>
      <c r="BU14" s="20">
        <v>0</v>
      </c>
      <c r="BV14" s="20"/>
      <c r="BW14" s="20">
        <f t="shared" ref="BW14:BW64" si="2">+BS14+BQ14+BU14</f>
        <v>4348861</v>
      </c>
      <c r="BX14" s="20"/>
      <c r="BY14" s="21">
        <f>+BW14-GenBS!AE14</f>
        <v>0</v>
      </c>
      <c r="BZ14" s="20"/>
      <c r="CA14" s="20"/>
      <c r="CB14" s="16" t="s">
        <v>303</v>
      </c>
      <c r="CC14" s="3" t="str">
        <f t="shared" ref="CC14:CC45" si="3">A14</f>
        <v>Apollo Career Center</v>
      </c>
      <c r="CD14" s="3" t="b">
        <f t="shared" ref="CD14:CD45" si="4">A14=AD14</f>
        <v>1</v>
      </c>
      <c r="CE14" s="3" t="b">
        <f t="shared" ref="CE14:CE45" si="5">A14=BK14</f>
        <v>1</v>
      </c>
      <c r="CF14" s="3" t="str">
        <f>GenRev!A14</f>
        <v>Apollo Career Center</v>
      </c>
      <c r="CG14" s="16" t="b">
        <f t="shared" ref="CG14:CG45" si="6">CC14=CF14</f>
        <v>1</v>
      </c>
      <c r="CI14" s="3" t="str">
        <f t="shared" ref="CI14:CI45" si="7">C14</f>
        <v>Allen</v>
      </c>
      <c r="CJ14" s="16" t="b">
        <f t="shared" ref="CJ14:CJ45" si="8">C14=AF14</f>
        <v>1</v>
      </c>
      <c r="CK14" s="16" t="b">
        <f t="shared" ref="CK14:CK45" si="9">C14=BM14</f>
        <v>1</v>
      </c>
      <c r="CM14" s="16" t="b">
        <f>C14=GenRev!C14</f>
        <v>1</v>
      </c>
    </row>
    <row r="15" spans="1:103" s="20" customFormat="1">
      <c r="A15" s="3" t="s">
        <v>249</v>
      </c>
      <c r="C15" s="20" t="s">
        <v>146</v>
      </c>
      <c r="E15" s="26">
        <v>62042</v>
      </c>
      <c r="G15" s="3">
        <v>546900</v>
      </c>
      <c r="H15" s="3"/>
      <c r="I15" s="3">
        <v>215447</v>
      </c>
      <c r="J15" s="3"/>
      <c r="K15" s="3">
        <v>2551763</v>
      </c>
      <c r="L15" s="3"/>
      <c r="M15" s="32">
        <v>37798</v>
      </c>
      <c r="N15" s="3"/>
      <c r="O15" s="3">
        <f>2389+1411</f>
        <v>3800</v>
      </c>
      <c r="P15" s="3"/>
      <c r="Q15" s="3">
        <v>119588</v>
      </c>
      <c r="R15" s="3"/>
      <c r="S15" s="3">
        <v>159423</v>
      </c>
      <c r="T15" s="3"/>
      <c r="U15" s="3">
        <v>48304</v>
      </c>
      <c r="V15" s="3"/>
      <c r="W15" s="3">
        <v>723239</v>
      </c>
      <c r="X15" s="3"/>
      <c r="Y15" s="3">
        <v>380469</v>
      </c>
      <c r="Z15" s="3"/>
      <c r="AA15" s="3">
        <v>3706</v>
      </c>
      <c r="AB15" s="3"/>
      <c r="AC15" s="3">
        <v>564718</v>
      </c>
      <c r="AD15" s="3" t="s">
        <v>249</v>
      </c>
      <c r="AE15" s="3"/>
      <c r="AF15" s="3" t="s">
        <v>146</v>
      </c>
      <c r="AG15" s="3"/>
      <c r="AH15" s="3">
        <v>3153</v>
      </c>
      <c r="AI15" s="3"/>
      <c r="AJ15" s="3">
        <v>18257</v>
      </c>
      <c r="AK15" s="3"/>
      <c r="AL15" s="3">
        <v>0</v>
      </c>
      <c r="AM15" s="36"/>
      <c r="AN15" s="3">
        <v>0</v>
      </c>
      <c r="AO15" s="3"/>
      <c r="AP15" s="3">
        <v>159093</v>
      </c>
      <c r="AQ15" s="3"/>
      <c r="AR15" s="3">
        <v>25931</v>
      </c>
      <c r="AS15" s="3"/>
      <c r="AT15" s="3">
        <v>0</v>
      </c>
      <c r="AU15" s="3"/>
      <c r="AV15" s="3">
        <v>0</v>
      </c>
      <c r="AW15" s="3"/>
      <c r="AX15" s="3">
        <v>0</v>
      </c>
      <c r="AY15" s="3"/>
      <c r="AZ15" s="3">
        <v>0</v>
      </c>
      <c r="BA15" s="3"/>
      <c r="BB15" s="3">
        <f t="shared" si="0"/>
        <v>5561589</v>
      </c>
      <c r="BC15" s="3"/>
      <c r="BD15" s="3">
        <v>20000</v>
      </c>
      <c r="BE15" s="3"/>
      <c r="BF15" s="3">
        <v>0</v>
      </c>
      <c r="BG15" s="3"/>
      <c r="BH15" s="3">
        <v>0</v>
      </c>
      <c r="BI15" s="3"/>
      <c r="BJ15" s="3">
        <v>0</v>
      </c>
      <c r="BK15" s="3" t="s">
        <v>249</v>
      </c>
      <c r="BL15" s="3"/>
      <c r="BM15" s="3" t="s">
        <v>146</v>
      </c>
      <c r="BO15" s="3">
        <f t="shared" si="1"/>
        <v>5581589</v>
      </c>
      <c r="BP15" s="3"/>
      <c r="BQ15" s="3">
        <f>GenRev!AW15-BO15</f>
        <v>409764</v>
      </c>
      <c r="BR15" s="3"/>
      <c r="BS15" s="3">
        <v>4189009</v>
      </c>
      <c r="BT15" s="3"/>
      <c r="BU15" s="3">
        <v>0</v>
      </c>
      <c r="BV15" s="3"/>
      <c r="BW15" s="3">
        <f t="shared" si="2"/>
        <v>4598773</v>
      </c>
      <c r="BY15" s="21">
        <f>+BW15-GenBS!AE15</f>
        <v>0</v>
      </c>
      <c r="BZ15" s="16"/>
      <c r="CA15" s="16"/>
      <c r="CB15" s="3"/>
      <c r="CC15" s="3" t="str">
        <f t="shared" si="3"/>
        <v>Ashland County-West Holmes JVSD</v>
      </c>
      <c r="CD15" s="3" t="b">
        <f t="shared" si="4"/>
        <v>1</v>
      </c>
      <c r="CE15" s="3" t="b">
        <f t="shared" si="5"/>
        <v>1</v>
      </c>
      <c r="CF15" s="3" t="str">
        <f>GenRev!A15</f>
        <v>Ashland County-West Holmes JVSD</v>
      </c>
      <c r="CG15" s="16" t="b">
        <f t="shared" si="6"/>
        <v>1</v>
      </c>
      <c r="CH15" s="16"/>
      <c r="CI15" s="3" t="str">
        <f t="shared" si="7"/>
        <v>Ashland</v>
      </c>
      <c r="CJ15" s="16" t="b">
        <f t="shared" si="8"/>
        <v>1</v>
      </c>
      <c r="CK15" s="16" t="b">
        <f t="shared" si="9"/>
        <v>1</v>
      </c>
      <c r="CM15" s="16" t="b">
        <f>C15=GenRev!C15</f>
        <v>1</v>
      </c>
    </row>
    <row r="16" spans="1:103" s="16" customFormat="1">
      <c r="A16" s="3" t="s">
        <v>210</v>
      </c>
      <c r="C16" s="16" t="s">
        <v>147</v>
      </c>
      <c r="E16" s="16">
        <v>50815</v>
      </c>
      <c r="G16" s="3">
        <v>893526</v>
      </c>
      <c r="H16" s="3"/>
      <c r="I16" s="3">
        <v>389118</v>
      </c>
      <c r="J16" s="3"/>
      <c r="K16" s="3">
        <v>4918556</v>
      </c>
      <c r="L16" s="3"/>
      <c r="M16" s="32">
        <v>0</v>
      </c>
      <c r="N16" s="3"/>
      <c r="O16" s="3">
        <v>0</v>
      </c>
      <c r="P16" s="3"/>
      <c r="Q16" s="3">
        <v>445448</v>
      </c>
      <c r="R16" s="3"/>
      <c r="S16" s="3">
        <v>1325706</v>
      </c>
      <c r="T16" s="3"/>
      <c r="U16" s="3">
        <v>40396</v>
      </c>
      <c r="V16" s="3"/>
      <c r="W16" s="3">
        <v>584221</v>
      </c>
      <c r="X16" s="3"/>
      <c r="Y16" s="3">
        <v>400897</v>
      </c>
      <c r="Z16" s="3"/>
      <c r="AA16" s="3">
        <v>76283</v>
      </c>
      <c r="AB16" s="3"/>
      <c r="AC16" s="3">
        <v>1097012</v>
      </c>
      <c r="AD16" s="3" t="s">
        <v>210</v>
      </c>
      <c r="AF16" s="16" t="s">
        <v>147</v>
      </c>
      <c r="AH16" s="3">
        <v>14067</v>
      </c>
      <c r="AI16" s="3"/>
      <c r="AJ16" s="3">
        <v>25771</v>
      </c>
      <c r="AK16" s="3"/>
      <c r="AL16" s="3">
        <v>0</v>
      </c>
      <c r="AM16" s="3"/>
      <c r="AN16" s="3">
        <v>0</v>
      </c>
      <c r="AO16" s="3"/>
      <c r="AP16" s="3">
        <v>1678</v>
      </c>
      <c r="AQ16" s="3"/>
      <c r="AR16" s="3">
        <v>0</v>
      </c>
      <c r="AS16" s="3"/>
      <c r="AT16" s="3">
        <v>0</v>
      </c>
      <c r="AU16" s="3"/>
      <c r="AV16" s="3">
        <v>0</v>
      </c>
      <c r="AW16" s="3"/>
      <c r="AX16" s="3">
        <v>0</v>
      </c>
      <c r="AY16" s="3"/>
      <c r="AZ16" s="3">
        <v>0</v>
      </c>
      <c r="BA16" s="3"/>
      <c r="BB16" s="3">
        <f t="shared" si="0"/>
        <v>10212679</v>
      </c>
      <c r="BC16" s="3"/>
      <c r="BD16" s="3">
        <v>28000</v>
      </c>
      <c r="BE16" s="3"/>
      <c r="BF16" s="3">
        <v>0</v>
      </c>
      <c r="BG16" s="3"/>
      <c r="BH16" s="3">
        <v>0</v>
      </c>
      <c r="BI16" s="3"/>
      <c r="BJ16" s="3">
        <v>0</v>
      </c>
      <c r="BK16" s="3" t="s">
        <v>210</v>
      </c>
      <c r="BM16" s="16" t="s">
        <v>147</v>
      </c>
      <c r="BN16" s="3"/>
      <c r="BO16" s="3">
        <f t="shared" si="1"/>
        <v>10240679</v>
      </c>
      <c r="BP16" s="3"/>
      <c r="BQ16" s="3">
        <f>GenRev!AW16-BO16</f>
        <v>280533</v>
      </c>
      <c r="BR16" s="3"/>
      <c r="BS16" s="3">
        <v>6378190</v>
      </c>
      <c r="BT16" s="3"/>
      <c r="BU16" s="3">
        <v>0</v>
      </c>
      <c r="BV16" s="3"/>
      <c r="BW16" s="3">
        <f t="shared" si="2"/>
        <v>6658723</v>
      </c>
      <c r="BX16" s="3"/>
      <c r="BY16" s="17">
        <f>+BW16-GenBS!AE16</f>
        <v>0</v>
      </c>
      <c r="CB16" s="3"/>
      <c r="CC16" s="3" t="str">
        <f t="shared" si="3"/>
        <v>Ashtabula County JVSD</v>
      </c>
      <c r="CD16" s="3" t="b">
        <f t="shared" si="4"/>
        <v>1</v>
      </c>
      <c r="CE16" s="3" t="b">
        <f t="shared" si="5"/>
        <v>1</v>
      </c>
      <c r="CF16" s="3" t="str">
        <f>GenRev!A16</f>
        <v>Ashtabula County JVSD</v>
      </c>
      <c r="CG16" s="16" t="b">
        <f t="shared" si="6"/>
        <v>1</v>
      </c>
      <c r="CI16" s="3" t="str">
        <f t="shared" si="7"/>
        <v>Ashtabula</v>
      </c>
      <c r="CJ16" s="16" t="b">
        <f t="shared" si="8"/>
        <v>1</v>
      </c>
      <c r="CK16" s="16" t="b">
        <f t="shared" si="9"/>
        <v>1</v>
      </c>
      <c r="CM16" s="16" t="b">
        <f>C16=GenRev!C16</f>
        <v>1</v>
      </c>
    </row>
    <row r="17" spans="1:91" s="16" customFormat="1">
      <c r="A17" s="3" t="s">
        <v>325</v>
      </c>
      <c r="C17" s="16" t="s">
        <v>149</v>
      </c>
      <c r="E17" s="16">
        <v>51169</v>
      </c>
      <c r="G17" s="3">
        <v>0</v>
      </c>
      <c r="H17" s="3"/>
      <c r="I17" s="3">
        <v>669453</v>
      </c>
      <c r="J17" s="3"/>
      <c r="K17" s="3">
        <v>3516231</v>
      </c>
      <c r="L17" s="3"/>
      <c r="M17" s="32">
        <v>0</v>
      </c>
      <c r="N17" s="3"/>
      <c r="O17" s="3">
        <v>0</v>
      </c>
      <c r="P17" s="3"/>
      <c r="Q17" s="3">
        <v>461901</v>
      </c>
      <c r="R17" s="3"/>
      <c r="S17" s="3">
        <v>90227</v>
      </c>
      <c r="T17" s="3"/>
      <c r="U17" s="3">
        <v>258052</v>
      </c>
      <c r="V17" s="3"/>
      <c r="W17" s="3">
        <v>971124</v>
      </c>
      <c r="X17" s="3"/>
      <c r="Y17" s="3">
        <v>509587</v>
      </c>
      <c r="Z17" s="3"/>
      <c r="AA17" s="3">
        <v>1920</v>
      </c>
      <c r="AB17" s="3"/>
      <c r="AC17" s="3">
        <v>1270950</v>
      </c>
      <c r="AD17" s="3" t="s">
        <v>325</v>
      </c>
      <c r="AF17" s="16" t="s">
        <v>149</v>
      </c>
      <c r="AH17" s="3">
        <v>16997</v>
      </c>
      <c r="AI17" s="3"/>
      <c r="AJ17" s="3">
        <v>514027</v>
      </c>
      <c r="AK17" s="3"/>
      <c r="AL17" s="3">
        <v>0</v>
      </c>
      <c r="AM17" s="3"/>
      <c r="AN17" s="3">
        <v>0</v>
      </c>
      <c r="AO17" s="3"/>
      <c r="AP17" s="3">
        <v>10040</v>
      </c>
      <c r="AQ17" s="3"/>
      <c r="AR17" s="3">
        <v>379</v>
      </c>
      <c r="AS17" s="3"/>
      <c r="AT17" s="3">
        <v>578355</v>
      </c>
      <c r="AU17" s="3"/>
      <c r="AV17" s="3">
        <v>0</v>
      </c>
      <c r="AW17" s="3"/>
      <c r="AX17" s="3">
        <v>0</v>
      </c>
      <c r="AY17" s="3"/>
      <c r="AZ17" s="3">
        <v>0</v>
      </c>
      <c r="BA17" s="3"/>
      <c r="BB17" s="3">
        <f t="shared" si="0"/>
        <v>8869243</v>
      </c>
      <c r="BC17" s="3"/>
      <c r="BD17" s="3">
        <v>71095</v>
      </c>
      <c r="BE17" s="3"/>
      <c r="BF17" s="3">
        <v>0</v>
      </c>
      <c r="BG17" s="3"/>
      <c r="BH17" s="3">
        <v>0</v>
      </c>
      <c r="BI17" s="3"/>
      <c r="BJ17" s="3">
        <v>0</v>
      </c>
      <c r="BK17" s="3" t="s">
        <v>325</v>
      </c>
      <c r="BM17" s="16" t="s">
        <v>149</v>
      </c>
      <c r="BN17" s="3"/>
      <c r="BO17" s="3">
        <f t="shared" si="1"/>
        <v>8940338</v>
      </c>
      <c r="BP17" s="3"/>
      <c r="BQ17" s="3">
        <f>GenRev!AW17-BO17</f>
        <v>324970</v>
      </c>
      <c r="BR17" s="3"/>
      <c r="BS17" s="3">
        <v>6927948</v>
      </c>
      <c r="BT17" s="3"/>
      <c r="BU17" s="3">
        <v>0</v>
      </c>
      <c r="BV17" s="3"/>
      <c r="BW17" s="3">
        <f t="shared" si="2"/>
        <v>7252918</v>
      </c>
      <c r="BX17" s="3"/>
      <c r="BY17" s="17">
        <f>+BW17-GenBS!AE17</f>
        <v>0</v>
      </c>
      <c r="CB17" s="3"/>
      <c r="CC17" s="3" t="str">
        <f t="shared" si="3"/>
        <v>Auburn VSD</v>
      </c>
      <c r="CD17" s="3" t="b">
        <f t="shared" si="4"/>
        <v>1</v>
      </c>
      <c r="CE17" s="3" t="b">
        <f t="shared" si="5"/>
        <v>1</v>
      </c>
      <c r="CF17" s="3" t="str">
        <f>GenRev!A17</f>
        <v>Auburn VSD</v>
      </c>
      <c r="CG17" s="16" t="b">
        <f t="shared" si="6"/>
        <v>1</v>
      </c>
      <c r="CI17" s="3" t="str">
        <f t="shared" si="7"/>
        <v>Lake</v>
      </c>
      <c r="CJ17" s="16" t="b">
        <f t="shared" si="8"/>
        <v>1</v>
      </c>
      <c r="CK17" s="16" t="b">
        <f t="shared" si="9"/>
        <v>1</v>
      </c>
      <c r="CM17" s="16" t="b">
        <f>C17=GenRev!C17</f>
        <v>1</v>
      </c>
    </row>
    <row r="18" spans="1:91" s="16" customFormat="1">
      <c r="A18" s="3" t="s">
        <v>326</v>
      </c>
      <c r="C18" s="16" t="s">
        <v>152</v>
      </c>
      <c r="E18" s="16">
        <v>50856</v>
      </c>
      <c r="G18" s="3">
        <v>213084</v>
      </c>
      <c r="H18" s="3"/>
      <c r="I18" s="3">
        <v>0</v>
      </c>
      <c r="J18" s="3"/>
      <c r="K18" s="3">
        <v>3460884</v>
      </c>
      <c r="L18" s="3"/>
      <c r="M18" s="32">
        <v>112</v>
      </c>
      <c r="N18" s="3"/>
      <c r="O18" s="3">
        <v>0</v>
      </c>
      <c r="P18" s="3"/>
      <c r="Q18" s="3">
        <v>645917</v>
      </c>
      <c r="R18" s="3"/>
      <c r="S18" s="3">
        <v>2474</v>
      </c>
      <c r="T18" s="3"/>
      <c r="U18" s="3">
        <v>33524</v>
      </c>
      <c r="V18" s="3"/>
      <c r="W18" s="3">
        <v>514813</v>
      </c>
      <c r="X18" s="3"/>
      <c r="Y18" s="3">
        <v>259332</v>
      </c>
      <c r="Z18" s="3"/>
      <c r="AA18" s="3">
        <v>0</v>
      </c>
      <c r="AB18" s="3"/>
      <c r="AC18" s="3">
        <v>572537</v>
      </c>
      <c r="AD18" s="3" t="s">
        <v>326</v>
      </c>
      <c r="AF18" s="16" t="s">
        <v>152</v>
      </c>
      <c r="AH18" s="3">
        <v>0</v>
      </c>
      <c r="AI18" s="3"/>
      <c r="AJ18" s="3">
        <v>170565</v>
      </c>
      <c r="AK18" s="3"/>
      <c r="AL18" s="3">
        <v>0</v>
      </c>
      <c r="AM18" s="3"/>
      <c r="AN18" s="3">
        <v>0</v>
      </c>
      <c r="AO18" s="3"/>
      <c r="AP18" s="3">
        <v>0</v>
      </c>
      <c r="AQ18" s="3"/>
      <c r="AR18" s="3">
        <v>28443</v>
      </c>
      <c r="AS18" s="3"/>
      <c r="AT18" s="3">
        <v>0</v>
      </c>
      <c r="AU18" s="3"/>
      <c r="AV18" s="3">
        <v>0</v>
      </c>
      <c r="AW18" s="3"/>
      <c r="AX18" s="3">
        <v>33333</v>
      </c>
      <c r="AY18" s="3"/>
      <c r="AZ18" s="3">
        <v>0</v>
      </c>
      <c r="BA18" s="3"/>
      <c r="BB18" s="3">
        <f t="shared" si="0"/>
        <v>5935018</v>
      </c>
      <c r="BC18" s="3"/>
      <c r="BD18" s="3">
        <v>0</v>
      </c>
      <c r="BE18" s="3"/>
      <c r="BF18" s="3">
        <v>0</v>
      </c>
      <c r="BG18" s="3"/>
      <c r="BH18" s="3">
        <v>0</v>
      </c>
      <c r="BI18" s="3"/>
      <c r="BJ18" s="3">
        <v>0</v>
      </c>
      <c r="BK18" s="3" t="s">
        <v>326</v>
      </c>
      <c r="BM18" s="16" t="s">
        <v>152</v>
      </c>
      <c r="BN18" s="3"/>
      <c r="BO18" s="3">
        <f t="shared" si="1"/>
        <v>5935018</v>
      </c>
      <c r="BP18" s="3"/>
      <c r="BQ18" s="3">
        <f>GenRev!AW18-BO18</f>
        <v>452664</v>
      </c>
      <c r="BR18" s="3"/>
      <c r="BS18" s="3">
        <v>22595</v>
      </c>
      <c r="BT18" s="3"/>
      <c r="BU18" s="3">
        <v>0</v>
      </c>
      <c r="BV18" s="3"/>
      <c r="BW18" s="3">
        <f t="shared" si="2"/>
        <v>475259</v>
      </c>
      <c r="BX18" s="3"/>
      <c r="BY18" s="17">
        <f>+BW18-GenBS!AE18</f>
        <v>0</v>
      </c>
      <c r="CB18" s="3"/>
      <c r="CC18" s="3" t="str">
        <f t="shared" si="3"/>
        <v>Belmont-Harrison VSD</v>
      </c>
      <c r="CD18" s="3" t="b">
        <f t="shared" si="4"/>
        <v>1</v>
      </c>
      <c r="CE18" s="3" t="b">
        <f t="shared" si="5"/>
        <v>1</v>
      </c>
      <c r="CF18" s="3" t="str">
        <f>GenRev!A18</f>
        <v>Belmont-Harrison VSD</v>
      </c>
      <c r="CG18" s="16" t="b">
        <f t="shared" si="6"/>
        <v>1</v>
      </c>
      <c r="CI18" s="3" t="str">
        <f t="shared" si="7"/>
        <v>Belmont</v>
      </c>
      <c r="CJ18" s="16" t="b">
        <f t="shared" si="8"/>
        <v>1</v>
      </c>
      <c r="CK18" s="16" t="b">
        <f t="shared" si="9"/>
        <v>1</v>
      </c>
      <c r="CM18" s="16" t="b">
        <f>C18=GenRev!C18</f>
        <v>1</v>
      </c>
    </row>
    <row r="19" spans="1:91" s="16" customFormat="1">
      <c r="A19" s="3" t="s">
        <v>227</v>
      </c>
      <c r="C19" s="16" t="s">
        <v>202</v>
      </c>
      <c r="E19" s="16">
        <v>51656</v>
      </c>
      <c r="G19" s="3">
        <v>1163154</v>
      </c>
      <c r="H19" s="3"/>
      <c r="I19" s="3">
        <v>537963</v>
      </c>
      <c r="J19" s="3"/>
      <c r="K19" s="3">
        <v>5914743</v>
      </c>
      <c r="L19" s="3"/>
      <c r="M19" s="32">
        <v>0</v>
      </c>
      <c r="N19" s="3"/>
      <c r="O19" s="3">
        <v>0</v>
      </c>
      <c r="P19" s="3"/>
      <c r="Q19" s="3">
        <v>668024</v>
      </c>
      <c r="R19" s="3"/>
      <c r="S19" s="3">
        <v>533562</v>
      </c>
      <c r="T19" s="3"/>
      <c r="U19" s="3">
        <v>150068</v>
      </c>
      <c r="V19" s="3"/>
      <c r="W19" s="3">
        <v>689997</v>
      </c>
      <c r="X19" s="3"/>
      <c r="Y19" s="3">
        <v>389714</v>
      </c>
      <c r="Z19" s="3"/>
      <c r="AA19" s="3">
        <v>0</v>
      </c>
      <c r="AB19" s="3"/>
      <c r="AC19" s="3">
        <v>1540308</v>
      </c>
      <c r="AD19" s="3" t="s">
        <v>227</v>
      </c>
      <c r="AF19" s="16" t="s">
        <v>202</v>
      </c>
      <c r="AH19" s="3">
        <v>653</v>
      </c>
      <c r="AI19" s="3"/>
      <c r="AJ19" s="3">
        <v>0</v>
      </c>
      <c r="AK19" s="3"/>
      <c r="AL19" s="3">
        <v>0</v>
      </c>
      <c r="AM19" s="3"/>
      <c r="AN19" s="3">
        <v>0</v>
      </c>
      <c r="AO19" s="3"/>
      <c r="AP19" s="3">
        <v>2114</v>
      </c>
      <c r="AQ19" s="3"/>
      <c r="AR19" s="3">
        <v>13171</v>
      </c>
      <c r="AS19" s="3"/>
      <c r="AT19" s="3">
        <v>101063</v>
      </c>
      <c r="AU19" s="3"/>
      <c r="AV19" s="3">
        <v>0</v>
      </c>
      <c r="AW19" s="3"/>
      <c r="AX19" s="3">
        <v>55512</v>
      </c>
      <c r="AY19" s="3"/>
      <c r="AZ19" s="3">
        <v>13888</v>
      </c>
      <c r="BA19" s="3"/>
      <c r="BB19" s="3">
        <f t="shared" si="0"/>
        <v>11773934</v>
      </c>
      <c r="BC19" s="3"/>
      <c r="BD19" s="3">
        <v>55400</v>
      </c>
      <c r="BE19" s="3"/>
      <c r="BF19" s="3">
        <v>0</v>
      </c>
      <c r="BG19" s="3"/>
      <c r="BH19" s="3">
        <v>0</v>
      </c>
      <c r="BI19" s="3"/>
      <c r="BJ19" s="3">
        <v>0</v>
      </c>
      <c r="BK19" s="3" t="s">
        <v>227</v>
      </c>
      <c r="BM19" s="16" t="s">
        <v>202</v>
      </c>
      <c r="BN19" s="3"/>
      <c r="BO19" s="3">
        <f t="shared" si="1"/>
        <v>11829334</v>
      </c>
      <c r="BP19" s="3"/>
      <c r="BQ19" s="3">
        <f>GenRev!AW19-BO19</f>
        <v>595618</v>
      </c>
      <c r="BR19" s="3"/>
      <c r="BS19" s="3">
        <v>12043461</v>
      </c>
      <c r="BT19" s="3"/>
      <c r="BU19" s="3">
        <v>0</v>
      </c>
      <c r="BV19" s="3"/>
      <c r="BW19" s="3">
        <f t="shared" si="2"/>
        <v>12639079</v>
      </c>
      <c r="BX19" s="3"/>
      <c r="BY19" s="17">
        <f>+BW19-GenBS!AE19</f>
        <v>0</v>
      </c>
      <c r="CB19" s="3"/>
      <c r="CC19" s="3" t="str">
        <f t="shared" si="3"/>
        <v>Buckeye JVSD</v>
      </c>
      <c r="CD19" s="3" t="b">
        <f t="shared" si="4"/>
        <v>1</v>
      </c>
      <c r="CE19" s="3" t="b">
        <f t="shared" si="5"/>
        <v>1</v>
      </c>
      <c r="CF19" s="3" t="str">
        <f>GenRev!A19</f>
        <v>Buckeye JVSD</v>
      </c>
      <c r="CG19" s="16" t="b">
        <f t="shared" si="6"/>
        <v>1</v>
      </c>
      <c r="CI19" s="3" t="str">
        <f t="shared" si="7"/>
        <v>Tuscarawas</v>
      </c>
      <c r="CJ19" s="16" t="b">
        <f t="shared" si="8"/>
        <v>1</v>
      </c>
      <c r="CK19" s="16" t="b">
        <f t="shared" si="9"/>
        <v>1</v>
      </c>
      <c r="CM19" s="16" t="b">
        <f>C19=GenRev!C19</f>
        <v>1</v>
      </c>
    </row>
    <row r="20" spans="1:91" s="16" customFormat="1">
      <c r="A20" s="3" t="s">
        <v>287</v>
      </c>
      <c r="C20" s="16" t="s">
        <v>150</v>
      </c>
      <c r="E20" s="16">
        <v>50880</v>
      </c>
      <c r="G20" s="3">
        <v>476740</v>
      </c>
      <c r="H20" s="3"/>
      <c r="I20" s="3">
        <v>0</v>
      </c>
      <c r="J20" s="3"/>
      <c r="K20" s="3">
        <v>22450505</v>
      </c>
      <c r="L20" s="3"/>
      <c r="M20" s="32">
        <v>0</v>
      </c>
      <c r="N20" s="3"/>
      <c r="O20" s="3">
        <v>0</v>
      </c>
      <c r="P20" s="3"/>
      <c r="Q20" s="3">
        <v>1576060</v>
      </c>
      <c r="R20" s="3"/>
      <c r="S20" s="3">
        <v>2926903</v>
      </c>
      <c r="T20" s="3"/>
      <c r="U20" s="3">
        <v>114950</v>
      </c>
      <c r="V20" s="3"/>
      <c r="W20" s="3">
        <v>2631169</v>
      </c>
      <c r="X20" s="3"/>
      <c r="Y20" s="3">
        <v>1255004</v>
      </c>
      <c r="Z20" s="3"/>
      <c r="AA20" s="3">
        <v>65789</v>
      </c>
      <c r="AB20" s="3"/>
      <c r="AC20" s="3">
        <v>3503623</v>
      </c>
      <c r="AD20" s="3" t="s">
        <v>287</v>
      </c>
      <c r="AF20" s="16" t="s">
        <v>150</v>
      </c>
      <c r="AH20" s="3">
        <v>124997</v>
      </c>
      <c r="AI20" s="3"/>
      <c r="AJ20" s="3">
        <v>2658639</v>
      </c>
      <c r="AK20" s="3"/>
      <c r="AL20" s="3">
        <v>0</v>
      </c>
      <c r="AM20" s="3"/>
      <c r="AN20" s="3">
        <v>0</v>
      </c>
      <c r="AO20" s="3"/>
      <c r="AP20" s="3">
        <v>101984</v>
      </c>
      <c r="AQ20" s="3"/>
      <c r="AR20" s="3">
        <v>329503</v>
      </c>
      <c r="AS20" s="3"/>
      <c r="AT20" s="3">
        <v>0</v>
      </c>
      <c r="AU20" s="3"/>
      <c r="AV20" s="3">
        <v>0</v>
      </c>
      <c r="AW20" s="3"/>
      <c r="AX20" s="3">
        <v>0</v>
      </c>
      <c r="AY20" s="3"/>
      <c r="AZ20" s="3">
        <v>0</v>
      </c>
      <c r="BA20" s="3"/>
      <c r="BB20" s="3">
        <f t="shared" si="0"/>
        <v>38215866</v>
      </c>
      <c r="BC20" s="3"/>
      <c r="BD20" s="3">
        <v>648692</v>
      </c>
      <c r="BE20" s="3"/>
      <c r="BF20" s="3">
        <v>0</v>
      </c>
      <c r="BG20" s="3"/>
      <c r="BH20" s="3">
        <v>0</v>
      </c>
      <c r="BI20" s="3"/>
      <c r="BJ20" s="3">
        <v>0</v>
      </c>
      <c r="BK20" s="3" t="s">
        <v>287</v>
      </c>
      <c r="BM20" s="16" t="s">
        <v>150</v>
      </c>
      <c r="BN20" s="3"/>
      <c r="BO20" s="3">
        <f t="shared" si="1"/>
        <v>38864558</v>
      </c>
      <c r="BP20" s="3"/>
      <c r="BQ20" s="3">
        <f>GenRev!AW20-BO20</f>
        <v>1253008</v>
      </c>
      <c r="BR20" s="3"/>
      <c r="BS20" s="3">
        <v>9355755</v>
      </c>
      <c r="BT20" s="3"/>
      <c r="BU20" s="3">
        <v>0</v>
      </c>
      <c r="BV20" s="3"/>
      <c r="BW20" s="3">
        <f t="shared" si="2"/>
        <v>10608763</v>
      </c>
      <c r="BX20" s="3"/>
      <c r="BY20" s="17">
        <f>+BW20-GenBS!AE20</f>
        <v>0</v>
      </c>
      <c r="CB20" s="3"/>
      <c r="CC20" s="3" t="str">
        <f t="shared" si="3"/>
        <v>Butler Technology and Career Development</v>
      </c>
      <c r="CD20" s="3" t="b">
        <f t="shared" si="4"/>
        <v>1</v>
      </c>
      <c r="CE20" s="3" t="b">
        <f t="shared" si="5"/>
        <v>1</v>
      </c>
      <c r="CF20" s="3" t="str">
        <f>GenRev!A20</f>
        <v>Butler Technology and Career Development</v>
      </c>
      <c r="CG20" s="16" t="b">
        <f t="shared" si="6"/>
        <v>1</v>
      </c>
      <c r="CI20" s="3" t="str">
        <f t="shared" si="7"/>
        <v>Butler</v>
      </c>
      <c r="CJ20" s="16" t="b">
        <f t="shared" si="8"/>
        <v>1</v>
      </c>
      <c r="CK20" s="16" t="b">
        <f t="shared" si="9"/>
        <v>1</v>
      </c>
      <c r="CM20" s="16" t="b">
        <f>C20=GenRev!C20</f>
        <v>1</v>
      </c>
    </row>
    <row r="21" spans="1:91" s="16" customFormat="1">
      <c r="A21" s="3" t="s">
        <v>291</v>
      </c>
      <c r="C21" s="16" t="s">
        <v>176</v>
      </c>
      <c r="E21" s="16">
        <v>51201</v>
      </c>
      <c r="G21" s="3">
        <v>104485</v>
      </c>
      <c r="H21" s="3"/>
      <c r="I21" s="3">
        <v>527472</v>
      </c>
      <c r="J21" s="3"/>
      <c r="K21" s="3">
        <v>4902142</v>
      </c>
      <c r="L21" s="3"/>
      <c r="M21" s="32">
        <v>7846</v>
      </c>
      <c r="N21" s="3"/>
      <c r="O21" s="3">
        <v>0</v>
      </c>
      <c r="P21" s="3"/>
      <c r="Q21" s="3">
        <v>405498</v>
      </c>
      <c r="R21" s="3"/>
      <c r="S21" s="3">
        <v>615183</v>
      </c>
      <c r="T21" s="3"/>
      <c r="U21" s="3">
        <v>19653</v>
      </c>
      <c r="V21" s="3"/>
      <c r="W21" s="3">
        <v>1009267</v>
      </c>
      <c r="X21" s="3"/>
      <c r="Y21" s="3">
        <v>392446</v>
      </c>
      <c r="Z21" s="3"/>
      <c r="AA21" s="3">
        <v>298412</v>
      </c>
      <c r="AB21" s="3"/>
      <c r="AC21" s="3">
        <v>1323888</v>
      </c>
      <c r="AD21" s="3" t="s">
        <v>291</v>
      </c>
      <c r="AF21" s="16" t="s">
        <v>176</v>
      </c>
      <c r="AH21" s="3">
        <v>8534</v>
      </c>
      <c r="AI21" s="3"/>
      <c r="AJ21" s="3">
        <v>1064710</v>
      </c>
      <c r="AK21" s="3"/>
      <c r="AL21" s="3">
        <v>0</v>
      </c>
      <c r="AM21" s="3"/>
      <c r="AN21" s="3">
        <v>25516</v>
      </c>
      <c r="AO21" s="3"/>
      <c r="AP21" s="3">
        <v>0</v>
      </c>
      <c r="AQ21" s="3"/>
      <c r="AR21" s="3">
        <v>50196</v>
      </c>
      <c r="AS21" s="3"/>
      <c r="AT21" s="3">
        <v>0</v>
      </c>
      <c r="AU21" s="3"/>
      <c r="AV21" s="3">
        <v>0</v>
      </c>
      <c r="AW21" s="3"/>
      <c r="AX21" s="3">
        <v>35343</v>
      </c>
      <c r="AY21" s="3"/>
      <c r="AZ21" s="3">
        <v>763</v>
      </c>
      <c r="BA21" s="3"/>
      <c r="BB21" s="3">
        <f>SUM(G21:BA21)</f>
        <v>10791354</v>
      </c>
      <c r="BC21" s="3"/>
      <c r="BD21" s="3">
        <v>11843</v>
      </c>
      <c r="BE21" s="3"/>
      <c r="BF21" s="3">
        <v>0</v>
      </c>
      <c r="BG21" s="3"/>
      <c r="BH21" s="3">
        <v>0</v>
      </c>
      <c r="BI21" s="3"/>
      <c r="BJ21" s="3">
        <v>0</v>
      </c>
      <c r="BK21" s="3" t="s">
        <v>291</v>
      </c>
      <c r="BM21" s="16" t="s">
        <v>176</v>
      </c>
      <c r="BN21" s="3"/>
      <c r="BO21" s="3">
        <f t="shared" si="1"/>
        <v>10803197</v>
      </c>
      <c r="BP21" s="3"/>
      <c r="BQ21" s="3">
        <f>GenRev!AW21-BO21</f>
        <v>1949855</v>
      </c>
      <c r="BR21" s="3"/>
      <c r="BS21" s="3">
        <v>1191186</v>
      </c>
      <c r="BT21" s="3"/>
      <c r="BU21" s="3">
        <v>0</v>
      </c>
      <c r="BV21" s="3"/>
      <c r="BW21" s="3">
        <f t="shared" si="2"/>
        <v>3141041</v>
      </c>
      <c r="BX21" s="3"/>
      <c r="BY21" s="17">
        <f>+BW21-GenBS!AE21</f>
        <v>0</v>
      </c>
      <c r="CB21" s="3"/>
      <c r="CC21" s="3" t="str">
        <f t="shared" si="3"/>
        <v>Career and Technology Education Centers of Licking County</v>
      </c>
      <c r="CD21" s="3" t="b">
        <f t="shared" si="4"/>
        <v>1</v>
      </c>
      <c r="CE21" s="3" t="b">
        <f t="shared" si="5"/>
        <v>1</v>
      </c>
      <c r="CF21" s="3" t="str">
        <f>GenRev!A21</f>
        <v>Career and Technology Education Centers of Licking County</v>
      </c>
      <c r="CG21" s="16" t="b">
        <f>CC21=CF21</f>
        <v>1</v>
      </c>
      <c r="CI21" s="3" t="str">
        <f t="shared" si="7"/>
        <v>Licking</v>
      </c>
      <c r="CJ21" s="16" t="b">
        <f t="shared" si="8"/>
        <v>1</v>
      </c>
      <c r="CK21" s="16" t="b">
        <f t="shared" si="9"/>
        <v>1</v>
      </c>
      <c r="CM21" s="16" t="b">
        <f>C21=GenRev!C21</f>
        <v>1</v>
      </c>
    </row>
    <row r="22" spans="1:91" s="66" customFormat="1" hidden="1">
      <c r="A22" s="65" t="s">
        <v>289</v>
      </c>
      <c r="C22" s="66" t="s">
        <v>220</v>
      </c>
      <c r="E22" s="66">
        <v>63511</v>
      </c>
      <c r="G22" s="65"/>
      <c r="H22" s="65"/>
      <c r="I22" s="65"/>
      <c r="J22" s="65"/>
      <c r="K22" s="65"/>
      <c r="L22" s="65"/>
      <c r="M22" s="80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 t="s">
        <v>289</v>
      </c>
      <c r="AF22" s="66" t="s">
        <v>220</v>
      </c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>
        <f t="shared" si="0"/>
        <v>0</v>
      </c>
      <c r="BC22" s="65"/>
      <c r="BD22" s="65"/>
      <c r="BE22" s="65"/>
      <c r="BF22" s="65"/>
      <c r="BG22" s="65"/>
      <c r="BH22" s="65"/>
      <c r="BI22" s="65"/>
      <c r="BJ22" s="65"/>
      <c r="BK22" s="65" t="s">
        <v>289</v>
      </c>
      <c r="BM22" s="66" t="s">
        <v>220</v>
      </c>
      <c r="BN22" s="65"/>
      <c r="BO22" s="65">
        <f t="shared" si="1"/>
        <v>0</v>
      </c>
      <c r="BP22" s="65"/>
      <c r="BQ22" s="65">
        <f>GenRev!AW22-BO22</f>
        <v>0</v>
      </c>
      <c r="BR22" s="65"/>
      <c r="BS22" s="65"/>
      <c r="BT22" s="65"/>
      <c r="BU22" s="65"/>
      <c r="BV22" s="65"/>
      <c r="BW22" s="3">
        <f t="shared" si="2"/>
        <v>0</v>
      </c>
      <c r="BX22" s="65"/>
      <c r="BY22" s="67">
        <f>+BW22-GenBS!AE22</f>
        <v>0</v>
      </c>
      <c r="CB22" s="66" t="s">
        <v>304</v>
      </c>
      <c r="CC22" s="65" t="str">
        <f t="shared" si="3"/>
        <v>Central Ohio JVSD- now Tolles Career &amp; Technical Center since 2005</v>
      </c>
      <c r="CD22" s="65" t="b">
        <f t="shared" si="4"/>
        <v>1</v>
      </c>
      <c r="CE22" s="65" t="b">
        <f t="shared" si="5"/>
        <v>1</v>
      </c>
      <c r="CF22" s="65" t="str">
        <f>GenRev!A22</f>
        <v>Central Ohio JVSD- now Tolles Career &amp; Technical Center since 2005</v>
      </c>
      <c r="CG22" s="66" t="b">
        <f t="shared" si="6"/>
        <v>1</v>
      </c>
      <c r="CI22" s="65" t="str">
        <f t="shared" si="7"/>
        <v>Madison</v>
      </c>
      <c r="CJ22" s="66" t="b">
        <f t="shared" si="8"/>
        <v>1</v>
      </c>
      <c r="CK22" s="66" t="b">
        <f t="shared" si="9"/>
        <v>1</v>
      </c>
      <c r="CM22" s="66" t="b">
        <f>C22=GenRev!C22</f>
        <v>1</v>
      </c>
    </row>
    <row r="23" spans="1:91" s="16" customFormat="1">
      <c r="A23" s="3" t="s">
        <v>288</v>
      </c>
      <c r="C23" s="16" t="s">
        <v>159</v>
      </c>
      <c r="E23" s="16">
        <v>50906</v>
      </c>
      <c r="G23" s="3">
        <v>567042</v>
      </c>
      <c r="H23" s="3"/>
      <c r="I23" s="3">
        <v>220306</v>
      </c>
      <c r="J23" s="3"/>
      <c r="K23" s="3">
        <v>1915105</v>
      </c>
      <c r="L23" s="3"/>
      <c r="M23" s="32">
        <v>0</v>
      </c>
      <c r="N23" s="3"/>
      <c r="O23" s="3">
        <v>0</v>
      </c>
      <c r="P23" s="3"/>
      <c r="Q23" s="3">
        <v>199679</v>
      </c>
      <c r="R23" s="3"/>
      <c r="S23" s="3">
        <v>339589</v>
      </c>
      <c r="T23" s="3"/>
      <c r="U23" s="3">
        <v>26672</v>
      </c>
      <c r="V23" s="3"/>
      <c r="W23" s="3">
        <v>885679</v>
      </c>
      <c r="X23" s="3"/>
      <c r="Y23" s="3">
        <v>298736</v>
      </c>
      <c r="Z23" s="3"/>
      <c r="AA23" s="3">
        <v>0</v>
      </c>
      <c r="AB23" s="3"/>
      <c r="AC23" s="3">
        <v>812149</v>
      </c>
      <c r="AD23" s="3" t="s">
        <v>288</v>
      </c>
      <c r="AF23" s="16" t="s">
        <v>159</v>
      </c>
      <c r="AH23" s="3">
        <v>0</v>
      </c>
      <c r="AI23" s="3"/>
      <c r="AJ23" s="3">
        <v>0</v>
      </c>
      <c r="AK23" s="3"/>
      <c r="AL23" s="3">
        <v>0</v>
      </c>
      <c r="AM23" s="3"/>
      <c r="AN23" s="3">
        <v>0</v>
      </c>
      <c r="AO23" s="3"/>
      <c r="AP23" s="3">
        <v>0</v>
      </c>
      <c r="AQ23" s="3"/>
      <c r="AR23" s="3">
        <v>26988</v>
      </c>
      <c r="AS23" s="3"/>
      <c r="AT23" s="3">
        <v>117249</v>
      </c>
      <c r="AU23" s="3"/>
      <c r="AV23" s="3">
        <v>0</v>
      </c>
      <c r="AW23" s="3"/>
      <c r="AX23" s="3">
        <v>0</v>
      </c>
      <c r="AY23" s="3"/>
      <c r="AZ23" s="3">
        <v>0</v>
      </c>
      <c r="BA23" s="3"/>
      <c r="BB23" s="3">
        <f t="shared" si="0"/>
        <v>5409194</v>
      </c>
      <c r="BC23" s="3"/>
      <c r="BD23" s="3">
        <v>500000</v>
      </c>
      <c r="BE23" s="3"/>
      <c r="BF23" s="3">
        <v>0</v>
      </c>
      <c r="BG23" s="3"/>
      <c r="BH23" s="3">
        <v>0</v>
      </c>
      <c r="BI23" s="3"/>
      <c r="BJ23" s="3">
        <v>0</v>
      </c>
      <c r="BK23" s="3" t="s">
        <v>288</v>
      </c>
      <c r="BM23" s="16" t="s">
        <v>159</v>
      </c>
      <c r="BN23" s="3"/>
      <c r="BO23" s="3">
        <f t="shared" si="1"/>
        <v>5909194</v>
      </c>
      <c r="BP23" s="3"/>
      <c r="BQ23" s="3">
        <f>GenRev!AW23-BO23</f>
        <v>234875</v>
      </c>
      <c r="BR23" s="3"/>
      <c r="BS23" s="3">
        <v>3043704</v>
      </c>
      <c r="BT23" s="3"/>
      <c r="BU23" s="3">
        <v>0</v>
      </c>
      <c r="BV23" s="3"/>
      <c r="BW23" s="3">
        <f t="shared" si="2"/>
        <v>3278579</v>
      </c>
      <c r="BX23" s="3"/>
      <c r="BY23" s="17">
        <f>+BW23-GenBS!AE23</f>
        <v>0</v>
      </c>
      <c r="CB23" s="3"/>
      <c r="CC23" s="3" t="str">
        <f t="shared" si="3"/>
        <v>Columbiana County Career &amp; Technical Center</v>
      </c>
      <c r="CD23" s="3" t="b">
        <f t="shared" si="4"/>
        <v>1</v>
      </c>
      <c r="CE23" s="3" t="b">
        <f t="shared" si="5"/>
        <v>1</v>
      </c>
      <c r="CF23" s="3" t="str">
        <f>GenRev!A23</f>
        <v>Columbiana County Career &amp; Technical Center</v>
      </c>
      <c r="CG23" s="16" t="b">
        <f t="shared" si="6"/>
        <v>1</v>
      </c>
      <c r="CI23" s="3" t="str">
        <f t="shared" si="7"/>
        <v>Columbiana</v>
      </c>
      <c r="CJ23" s="16" t="b">
        <f t="shared" si="8"/>
        <v>1</v>
      </c>
      <c r="CK23" s="16" t="b">
        <f t="shared" si="9"/>
        <v>1</v>
      </c>
      <c r="CM23" s="16" t="b">
        <f>C23=GenRev!C23</f>
        <v>1</v>
      </c>
    </row>
    <row r="24" spans="1:91" s="16" customFormat="1">
      <c r="A24" s="3" t="s">
        <v>253</v>
      </c>
      <c r="C24" s="16" t="s">
        <v>213</v>
      </c>
      <c r="E24" s="16">
        <v>65227</v>
      </c>
      <c r="G24" s="3">
        <v>513781</v>
      </c>
      <c r="H24" s="3"/>
      <c r="I24" s="3">
        <v>0</v>
      </c>
      <c r="J24" s="3"/>
      <c r="K24" s="3">
        <v>1328532</v>
      </c>
      <c r="L24" s="3"/>
      <c r="M24" s="32">
        <v>0</v>
      </c>
      <c r="N24" s="3"/>
      <c r="O24" s="3">
        <v>0</v>
      </c>
      <c r="P24" s="3"/>
      <c r="Q24" s="3">
        <v>166430</v>
      </c>
      <c r="R24" s="3"/>
      <c r="S24" s="3">
        <v>142492</v>
      </c>
      <c r="T24" s="3"/>
      <c r="U24" s="3">
        <v>52052</v>
      </c>
      <c r="V24" s="3"/>
      <c r="W24" s="3">
        <v>209478</v>
      </c>
      <c r="X24" s="3"/>
      <c r="Y24" s="3">
        <v>176324</v>
      </c>
      <c r="Z24" s="3"/>
      <c r="AA24" s="3">
        <v>47716</v>
      </c>
      <c r="AB24" s="3"/>
      <c r="AC24" s="3">
        <v>464943</v>
      </c>
      <c r="AD24" s="3" t="s">
        <v>253</v>
      </c>
      <c r="AF24" s="16" t="s">
        <v>213</v>
      </c>
      <c r="AH24" s="3">
        <v>12240</v>
      </c>
      <c r="AI24" s="3"/>
      <c r="AJ24" s="3">
        <v>12135</v>
      </c>
      <c r="AK24" s="3"/>
      <c r="AL24" s="3">
        <v>0</v>
      </c>
      <c r="AM24" s="3"/>
      <c r="AN24" s="3">
        <v>0</v>
      </c>
      <c r="AO24" s="3"/>
      <c r="AP24" s="3">
        <v>0</v>
      </c>
      <c r="AQ24" s="3"/>
      <c r="AR24" s="3">
        <v>17857</v>
      </c>
      <c r="AS24" s="3"/>
      <c r="AT24" s="3">
        <v>0</v>
      </c>
      <c r="AU24" s="3"/>
      <c r="AV24" s="3">
        <v>0</v>
      </c>
      <c r="AW24" s="3"/>
      <c r="AX24" s="3">
        <v>13950</v>
      </c>
      <c r="AY24" s="3"/>
      <c r="AZ24" s="3">
        <v>5451</v>
      </c>
      <c r="BA24" s="3"/>
      <c r="BB24" s="3">
        <f t="shared" si="0"/>
        <v>3163381</v>
      </c>
      <c r="BC24" s="3"/>
      <c r="BD24" s="3">
        <v>0</v>
      </c>
      <c r="BE24" s="3"/>
      <c r="BF24" s="3">
        <v>0</v>
      </c>
      <c r="BG24" s="3"/>
      <c r="BH24" s="3">
        <v>0</v>
      </c>
      <c r="BI24" s="3"/>
      <c r="BJ24" s="3">
        <v>0</v>
      </c>
      <c r="BK24" s="3" t="s">
        <v>253</v>
      </c>
      <c r="BM24" s="16" t="s">
        <v>213</v>
      </c>
      <c r="BN24" s="3"/>
      <c r="BO24" s="3">
        <f t="shared" si="1"/>
        <v>3163381</v>
      </c>
      <c r="BP24" s="3"/>
      <c r="BQ24" s="3">
        <f>GenRev!AW24-BO24</f>
        <v>482716</v>
      </c>
      <c r="BR24" s="3"/>
      <c r="BS24" s="3">
        <v>287312</v>
      </c>
      <c r="BT24" s="3"/>
      <c r="BU24" s="3">
        <v>0</v>
      </c>
      <c r="BV24" s="3"/>
      <c r="BW24" s="3">
        <f t="shared" si="2"/>
        <v>770028</v>
      </c>
      <c r="BX24" s="3"/>
      <c r="BY24" s="17">
        <f>+BW24-GenBS!AE24</f>
        <v>0</v>
      </c>
      <c r="CB24" s="3"/>
      <c r="CC24" s="3" t="str">
        <f t="shared" si="3"/>
        <v>Coshocton County Career Center</v>
      </c>
      <c r="CD24" s="3" t="b">
        <f t="shared" si="4"/>
        <v>1</v>
      </c>
      <c r="CE24" s="3" t="b">
        <f t="shared" si="5"/>
        <v>1</v>
      </c>
      <c r="CF24" s="3" t="str">
        <f>GenRev!A24</f>
        <v>Coshocton County Career Center</v>
      </c>
      <c r="CG24" s="16" t="b">
        <f t="shared" si="6"/>
        <v>1</v>
      </c>
      <c r="CI24" s="3" t="str">
        <f t="shared" si="7"/>
        <v>Coshocton</v>
      </c>
      <c r="CJ24" s="16" t="b">
        <f t="shared" si="8"/>
        <v>1</v>
      </c>
      <c r="CK24" s="16" t="b">
        <f t="shared" si="9"/>
        <v>1</v>
      </c>
      <c r="CM24" s="16" t="b">
        <f>C24=GenRev!C24</f>
        <v>1</v>
      </c>
    </row>
    <row r="25" spans="1:91" s="16" customFormat="1">
      <c r="A25" s="3" t="s">
        <v>251</v>
      </c>
      <c r="C25" s="16" t="s">
        <v>160</v>
      </c>
      <c r="E25" s="16">
        <v>50922</v>
      </c>
      <c r="G25" s="3">
        <v>733396</v>
      </c>
      <c r="H25" s="3"/>
      <c r="I25" s="3">
        <v>0</v>
      </c>
      <c r="J25" s="3"/>
      <c r="K25" s="3">
        <v>4701312</v>
      </c>
      <c r="L25" s="3"/>
      <c r="M25" s="32">
        <v>0</v>
      </c>
      <c r="N25" s="3"/>
      <c r="O25" s="3">
        <v>0</v>
      </c>
      <c r="P25" s="3"/>
      <c r="Q25" s="3">
        <v>962718</v>
      </c>
      <c r="R25" s="3"/>
      <c r="S25" s="3">
        <v>1337610</v>
      </c>
      <c r="T25" s="3"/>
      <c r="U25" s="3">
        <v>54461</v>
      </c>
      <c r="V25" s="3"/>
      <c r="W25" s="3">
        <v>1921096</v>
      </c>
      <c r="X25" s="3"/>
      <c r="Y25" s="3">
        <v>916340</v>
      </c>
      <c r="Z25" s="3"/>
      <c r="AA25" s="3">
        <v>700510</v>
      </c>
      <c r="AB25" s="3"/>
      <c r="AC25" s="3">
        <v>1350232</v>
      </c>
      <c r="AD25" s="3" t="s">
        <v>251</v>
      </c>
      <c r="AF25" s="16" t="s">
        <v>160</v>
      </c>
      <c r="AH25" s="3">
        <v>22018</v>
      </c>
      <c r="AI25" s="3"/>
      <c r="AJ25" s="3">
        <v>171336</v>
      </c>
      <c r="AK25" s="3"/>
      <c r="AL25" s="3">
        <v>0</v>
      </c>
      <c r="AM25" s="3"/>
      <c r="AN25" s="3">
        <v>0</v>
      </c>
      <c r="AO25" s="3"/>
      <c r="AP25" s="3">
        <f>4735+263527+2049602</f>
        <v>2317864</v>
      </c>
      <c r="AQ25" s="3"/>
      <c r="AR25" s="3">
        <v>59861</v>
      </c>
      <c r="AS25" s="3"/>
      <c r="AT25" s="3">
        <f>288951+70300</f>
        <v>359251</v>
      </c>
      <c r="AU25" s="3"/>
      <c r="AV25" s="3">
        <v>0</v>
      </c>
      <c r="AW25" s="3"/>
      <c r="AX25" s="3">
        <v>21989</v>
      </c>
      <c r="AY25" s="3"/>
      <c r="AZ25" s="3">
        <v>4553</v>
      </c>
      <c r="BA25" s="3"/>
      <c r="BB25" s="3">
        <f t="shared" si="0"/>
        <v>15634547</v>
      </c>
      <c r="BC25" s="3"/>
      <c r="BD25" s="3">
        <v>350000</v>
      </c>
      <c r="BE25" s="3"/>
      <c r="BF25" s="3">
        <v>0</v>
      </c>
      <c r="BG25" s="3"/>
      <c r="BH25" s="3">
        <v>0</v>
      </c>
      <c r="BI25" s="3"/>
      <c r="BJ25" s="3">
        <v>0</v>
      </c>
      <c r="BK25" s="3" t="s">
        <v>251</v>
      </c>
      <c r="BM25" s="16" t="s">
        <v>160</v>
      </c>
      <c r="BN25" s="3"/>
      <c r="BO25" s="3">
        <f t="shared" si="1"/>
        <v>15984547</v>
      </c>
      <c r="BP25" s="3"/>
      <c r="BQ25" s="3">
        <f>GenRev!AW25-BO25</f>
        <v>240805</v>
      </c>
      <c r="BR25" s="3"/>
      <c r="BS25" s="3">
        <v>13704547</v>
      </c>
      <c r="BT25" s="3"/>
      <c r="BU25" s="3">
        <v>-2204</v>
      </c>
      <c r="BV25" s="3"/>
      <c r="BW25" s="3">
        <f t="shared" si="2"/>
        <v>13943148</v>
      </c>
      <c r="BX25" s="3"/>
      <c r="BY25" s="17">
        <f>+BW25-GenBS!AE25</f>
        <v>0</v>
      </c>
      <c r="CB25" s="3"/>
      <c r="CC25" s="3" t="str">
        <f t="shared" si="3"/>
        <v>Cuyahoga Valley Career Center</v>
      </c>
      <c r="CD25" s="3" t="b">
        <f t="shared" si="4"/>
        <v>1</v>
      </c>
      <c r="CE25" s="3" t="b">
        <f t="shared" si="5"/>
        <v>1</v>
      </c>
      <c r="CF25" s="3" t="str">
        <f>GenRev!A25</f>
        <v>Cuyahoga Valley Career Center</v>
      </c>
      <c r="CG25" s="16" t="b">
        <f t="shared" si="6"/>
        <v>1</v>
      </c>
      <c r="CI25" s="3" t="str">
        <f t="shared" si="7"/>
        <v>Cuyahoga</v>
      </c>
      <c r="CJ25" s="16" t="b">
        <f t="shared" si="8"/>
        <v>1</v>
      </c>
      <c r="CK25" s="16" t="b">
        <f t="shared" si="9"/>
        <v>1</v>
      </c>
      <c r="CM25" s="16" t="b">
        <f>C25=GenRev!C25</f>
        <v>1</v>
      </c>
    </row>
    <row r="26" spans="1:91" s="16" customFormat="1">
      <c r="A26" s="3" t="s">
        <v>250</v>
      </c>
      <c r="C26" s="16" t="s">
        <v>162</v>
      </c>
      <c r="E26" s="16">
        <v>50989</v>
      </c>
      <c r="G26" s="3">
        <v>1068483</v>
      </c>
      <c r="H26" s="3"/>
      <c r="I26" s="3">
        <v>178439</v>
      </c>
      <c r="J26" s="3"/>
      <c r="K26" s="3">
        <v>5240809</v>
      </c>
      <c r="L26" s="3"/>
      <c r="M26" s="32">
        <v>16650</v>
      </c>
      <c r="N26" s="3"/>
      <c r="O26" s="3">
        <v>101657</v>
      </c>
      <c r="P26" s="3"/>
      <c r="Q26" s="3">
        <v>707874</v>
      </c>
      <c r="R26" s="3"/>
      <c r="S26" s="3">
        <v>363557</v>
      </c>
      <c r="T26" s="3"/>
      <c r="U26" s="3">
        <v>98918</v>
      </c>
      <c r="V26" s="3"/>
      <c r="W26" s="3">
        <v>1360867</v>
      </c>
      <c r="X26" s="3"/>
      <c r="Y26" s="3">
        <v>668057</v>
      </c>
      <c r="Z26" s="3"/>
      <c r="AA26" s="3">
        <v>0</v>
      </c>
      <c r="AB26" s="3"/>
      <c r="AC26" s="3">
        <v>1358440</v>
      </c>
      <c r="AD26" s="3" t="s">
        <v>250</v>
      </c>
      <c r="AF26" s="16" t="s">
        <v>162</v>
      </c>
      <c r="AH26" s="3">
        <v>28999</v>
      </c>
      <c r="AI26" s="3"/>
      <c r="AJ26" s="3">
        <v>1024207</v>
      </c>
      <c r="AK26" s="3"/>
      <c r="AL26" s="3">
        <v>0</v>
      </c>
      <c r="AM26" s="3"/>
      <c r="AN26" s="3">
        <v>0</v>
      </c>
      <c r="AO26" s="3"/>
      <c r="AP26" s="3">
        <v>2747</v>
      </c>
      <c r="AQ26" s="3"/>
      <c r="AR26" s="3">
        <v>15984</v>
      </c>
      <c r="AS26" s="3"/>
      <c r="AT26" s="3">
        <v>0</v>
      </c>
      <c r="AU26" s="3"/>
      <c r="AV26" s="3">
        <v>0</v>
      </c>
      <c r="AW26" s="3"/>
      <c r="AX26" s="3">
        <v>0</v>
      </c>
      <c r="AY26" s="3"/>
      <c r="AZ26" s="3">
        <v>0</v>
      </c>
      <c r="BA26" s="3"/>
      <c r="BB26" s="3">
        <f t="shared" si="0"/>
        <v>12235688</v>
      </c>
      <c r="BC26" s="3"/>
      <c r="BD26" s="3">
        <v>757330</v>
      </c>
      <c r="BE26" s="3"/>
      <c r="BF26" s="3">
        <v>0</v>
      </c>
      <c r="BG26" s="3"/>
      <c r="BH26" s="3">
        <v>0</v>
      </c>
      <c r="BI26" s="3"/>
      <c r="BJ26" s="3">
        <v>0</v>
      </c>
      <c r="BK26" s="3" t="s">
        <v>250</v>
      </c>
      <c r="BM26" s="16" t="s">
        <v>162</v>
      </c>
      <c r="BN26" s="3"/>
      <c r="BO26" s="3">
        <f t="shared" si="1"/>
        <v>12993018</v>
      </c>
      <c r="BP26" s="3"/>
      <c r="BQ26" s="3">
        <f>GenRev!AW26-BO26</f>
        <v>2652541</v>
      </c>
      <c r="BR26" s="3"/>
      <c r="BS26" s="3">
        <v>15868375</v>
      </c>
      <c r="BT26" s="3"/>
      <c r="BU26" s="3">
        <v>0</v>
      </c>
      <c r="BV26" s="3"/>
      <c r="BW26" s="3">
        <f t="shared" si="2"/>
        <v>18520916</v>
      </c>
      <c r="BX26" s="3"/>
      <c r="BY26" s="17">
        <f>+BW26-GenBS!AE26</f>
        <v>0</v>
      </c>
      <c r="CB26" s="3"/>
      <c r="CC26" s="3" t="str">
        <f t="shared" si="3"/>
        <v>Delaware Area Career Center</v>
      </c>
      <c r="CD26" s="3" t="b">
        <f t="shared" si="4"/>
        <v>1</v>
      </c>
      <c r="CE26" s="3" t="b">
        <f t="shared" si="5"/>
        <v>1</v>
      </c>
      <c r="CF26" s="3" t="str">
        <f>GenRev!A26</f>
        <v>Delaware Area Career Center</v>
      </c>
      <c r="CG26" s="16" t="b">
        <f t="shared" si="6"/>
        <v>1</v>
      </c>
      <c r="CI26" s="3" t="str">
        <f t="shared" si="7"/>
        <v>Delaware</v>
      </c>
      <c r="CJ26" s="16" t="b">
        <f t="shared" si="8"/>
        <v>1</v>
      </c>
      <c r="CK26" s="16" t="b">
        <f t="shared" si="9"/>
        <v>1</v>
      </c>
      <c r="CM26" s="16" t="b">
        <f>C26=GenRev!C26</f>
        <v>1</v>
      </c>
    </row>
    <row r="27" spans="1:91" s="16" customFormat="1">
      <c r="A27" s="3" t="s">
        <v>307</v>
      </c>
      <c r="C27" s="16" t="s">
        <v>165</v>
      </c>
      <c r="E27" s="16">
        <v>51003</v>
      </c>
      <c r="G27" s="3">
        <v>3529219</v>
      </c>
      <c r="H27" s="3"/>
      <c r="I27" s="3">
        <v>1259844</v>
      </c>
      <c r="J27" s="3"/>
      <c r="K27" s="3">
        <v>6871399</v>
      </c>
      <c r="L27" s="3"/>
      <c r="M27" s="32">
        <v>0</v>
      </c>
      <c r="N27" s="3"/>
      <c r="O27" s="3">
        <v>329131</v>
      </c>
      <c r="P27" s="3"/>
      <c r="Q27" s="3">
        <v>686639</v>
      </c>
      <c r="R27" s="3"/>
      <c r="S27" s="3">
        <v>393106</v>
      </c>
      <c r="T27" s="3"/>
      <c r="U27" s="3">
        <v>31846</v>
      </c>
      <c r="V27" s="3"/>
      <c r="W27" s="3">
        <v>2705219</v>
      </c>
      <c r="X27" s="3"/>
      <c r="Y27" s="3">
        <v>827215</v>
      </c>
      <c r="Z27" s="3"/>
      <c r="AA27" s="3">
        <v>4992</v>
      </c>
      <c r="AB27" s="3"/>
      <c r="AC27" s="3">
        <v>1817298</v>
      </c>
      <c r="AD27" s="3" t="s">
        <v>307</v>
      </c>
      <c r="AF27" s="16" t="s">
        <v>165</v>
      </c>
      <c r="AH27" s="3">
        <v>66593</v>
      </c>
      <c r="AI27" s="3"/>
      <c r="AJ27" s="3">
        <v>509457</v>
      </c>
      <c r="AK27" s="3"/>
      <c r="AL27" s="3">
        <v>0</v>
      </c>
      <c r="AM27" s="3"/>
      <c r="AN27" s="3">
        <v>0</v>
      </c>
      <c r="AO27" s="3"/>
      <c r="AP27" s="3">
        <v>1510</v>
      </c>
      <c r="AQ27" s="3"/>
      <c r="AR27" s="3">
        <v>65055</v>
      </c>
      <c r="AS27" s="3"/>
      <c r="AT27" s="3">
        <v>2112758</v>
      </c>
      <c r="AU27" s="3"/>
      <c r="AV27" s="3">
        <v>0</v>
      </c>
      <c r="AW27" s="3"/>
      <c r="AX27" s="3">
        <v>0</v>
      </c>
      <c r="AY27" s="3"/>
      <c r="AZ27" s="3">
        <v>0</v>
      </c>
      <c r="BA27" s="3"/>
      <c r="BB27" s="3">
        <f t="shared" si="0"/>
        <v>21211281</v>
      </c>
      <c r="BC27" s="3"/>
      <c r="BD27" s="3">
        <v>214363</v>
      </c>
      <c r="BE27" s="3"/>
      <c r="BF27" s="3">
        <v>0</v>
      </c>
      <c r="BG27" s="3"/>
      <c r="BH27" s="3">
        <v>0</v>
      </c>
      <c r="BI27" s="3"/>
      <c r="BJ27" s="3">
        <v>0</v>
      </c>
      <c r="BK27" s="3" t="s">
        <v>307</v>
      </c>
      <c r="BM27" s="16" t="s">
        <v>165</v>
      </c>
      <c r="BN27" s="3"/>
      <c r="BO27" s="3">
        <f t="shared" si="1"/>
        <v>21425644</v>
      </c>
      <c r="BP27" s="3"/>
      <c r="BQ27" s="3">
        <f>GenRev!AW27-BO27</f>
        <v>-273095</v>
      </c>
      <c r="BR27" s="3"/>
      <c r="BS27" s="3">
        <v>19686098</v>
      </c>
      <c r="BT27" s="3"/>
      <c r="BU27" s="3">
        <v>0</v>
      </c>
      <c r="BV27" s="3"/>
      <c r="BW27" s="3">
        <f t="shared" si="2"/>
        <v>19413003</v>
      </c>
      <c r="BX27" s="3"/>
      <c r="BY27" s="17">
        <f>+BW27-GenBS!AE27</f>
        <v>0</v>
      </c>
      <c r="CB27" s="3"/>
      <c r="CC27" s="3" t="str">
        <f t="shared" si="3"/>
        <v>Eastland-Fairfield Career and Tech Center</v>
      </c>
      <c r="CD27" s="3" t="b">
        <f t="shared" si="4"/>
        <v>1</v>
      </c>
      <c r="CE27" s="3" t="b">
        <f t="shared" si="5"/>
        <v>1</v>
      </c>
      <c r="CF27" s="3" t="str">
        <f>GenRev!A27</f>
        <v>Eastland-Fairfield Career and Tech Center</v>
      </c>
      <c r="CG27" s="16" t="b">
        <f t="shared" si="6"/>
        <v>1</v>
      </c>
      <c r="CI27" s="3" t="str">
        <f t="shared" si="7"/>
        <v>Franklin</v>
      </c>
      <c r="CJ27" s="16" t="b">
        <f t="shared" si="8"/>
        <v>1</v>
      </c>
      <c r="CK27" s="16" t="b">
        <f t="shared" si="9"/>
        <v>1</v>
      </c>
      <c r="CM27" s="16" t="b">
        <f>C27=GenRev!C27</f>
        <v>1</v>
      </c>
    </row>
    <row r="28" spans="1:91" s="16" customFormat="1">
      <c r="A28" s="3" t="s">
        <v>252</v>
      </c>
      <c r="C28" s="16" t="s">
        <v>163</v>
      </c>
      <c r="E28" s="16">
        <v>51029</v>
      </c>
      <c r="G28" s="3">
        <v>918072</v>
      </c>
      <c r="H28" s="3"/>
      <c r="I28" s="3">
        <v>401136</v>
      </c>
      <c r="J28" s="3"/>
      <c r="K28" s="3">
        <v>5332467</v>
      </c>
      <c r="L28" s="3"/>
      <c r="M28" s="32">
        <v>0</v>
      </c>
      <c r="N28" s="3"/>
      <c r="O28" s="3">
        <v>0</v>
      </c>
      <c r="P28" s="3"/>
      <c r="Q28" s="3">
        <v>627096</v>
      </c>
      <c r="R28" s="3"/>
      <c r="S28" s="3">
        <v>334461</v>
      </c>
      <c r="T28" s="3"/>
      <c r="U28" s="3">
        <v>62842</v>
      </c>
      <c r="V28" s="3"/>
      <c r="W28" s="3">
        <v>1504576</v>
      </c>
      <c r="X28" s="3"/>
      <c r="Y28" s="3">
        <v>407454</v>
      </c>
      <c r="Z28" s="3"/>
      <c r="AA28" s="3">
        <v>277340</v>
      </c>
      <c r="AB28" s="3"/>
      <c r="AC28" s="3">
        <v>1519005</v>
      </c>
      <c r="AD28" s="3" t="s">
        <v>252</v>
      </c>
      <c r="AF28" s="16" t="s">
        <v>163</v>
      </c>
      <c r="AH28" s="3">
        <v>26482</v>
      </c>
      <c r="AI28" s="3"/>
      <c r="AJ28" s="3">
        <v>499155</v>
      </c>
      <c r="AK28" s="3"/>
      <c r="AL28" s="3">
        <v>0</v>
      </c>
      <c r="AM28" s="3"/>
      <c r="AN28" s="3">
        <v>0</v>
      </c>
      <c r="AO28" s="3"/>
      <c r="AP28" s="3">
        <v>142286</v>
      </c>
      <c r="AQ28" s="3"/>
      <c r="AR28" s="3">
        <v>0</v>
      </c>
      <c r="AS28" s="3"/>
      <c r="AT28" s="3">
        <v>197784</v>
      </c>
      <c r="AU28" s="3"/>
      <c r="AV28" s="3">
        <v>0</v>
      </c>
      <c r="AW28" s="3"/>
      <c r="AX28" s="3">
        <v>234000</v>
      </c>
      <c r="AY28" s="3"/>
      <c r="AZ28" s="3">
        <v>154623</v>
      </c>
      <c r="BA28" s="3"/>
      <c r="BB28" s="3">
        <f t="shared" ref="BB28:BB64" si="10">SUM(G28:BA28)</f>
        <v>12638779</v>
      </c>
      <c r="BC28" s="3"/>
      <c r="BD28" s="3">
        <v>50000</v>
      </c>
      <c r="BE28" s="3"/>
      <c r="BF28" s="3">
        <v>0</v>
      </c>
      <c r="BG28" s="3"/>
      <c r="BH28" s="3">
        <v>0</v>
      </c>
      <c r="BI28" s="3"/>
      <c r="BJ28" s="3">
        <v>0</v>
      </c>
      <c r="BK28" s="3" t="s">
        <v>252</v>
      </c>
      <c r="BM28" s="16" t="s">
        <v>163</v>
      </c>
      <c r="BN28" s="3"/>
      <c r="BO28" s="3">
        <f t="shared" si="1"/>
        <v>12688779</v>
      </c>
      <c r="BP28" s="3"/>
      <c r="BQ28" s="3">
        <f>GenRev!AW28-BO28</f>
        <v>-112186</v>
      </c>
      <c r="BR28" s="3"/>
      <c r="BS28" s="3">
        <v>5249484</v>
      </c>
      <c r="BT28" s="3"/>
      <c r="BU28" s="3">
        <v>938</v>
      </c>
      <c r="BV28" s="3"/>
      <c r="BW28" s="3">
        <f t="shared" si="2"/>
        <v>5138236</v>
      </c>
      <c r="BX28" s="3"/>
      <c r="BY28" s="17">
        <f>+BW28-GenBS!AE28</f>
        <v>0</v>
      </c>
      <c r="CB28" s="3" t="s">
        <v>383</v>
      </c>
      <c r="CC28" s="3" t="str">
        <f t="shared" si="3"/>
        <v>Ehove Career Center</v>
      </c>
      <c r="CD28" s="3" t="b">
        <f t="shared" si="4"/>
        <v>1</v>
      </c>
      <c r="CE28" s="3" t="b">
        <f t="shared" si="5"/>
        <v>1</v>
      </c>
      <c r="CF28" s="3" t="str">
        <f>GenRev!A28</f>
        <v>Ehove Career Center</v>
      </c>
      <c r="CG28" s="16" t="b">
        <f t="shared" si="6"/>
        <v>1</v>
      </c>
      <c r="CI28" s="3" t="str">
        <f t="shared" si="7"/>
        <v>Erie</v>
      </c>
      <c r="CJ28" s="16" t="b">
        <f t="shared" si="8"/>
        <v>1</v>
      </c>
      <c r="CK28" s="16" t="b">
        <f t="shared" si="9"/>
        <v>1</v>
      </c>
      <c r="CM28" s="16" t="b">
        <f>C28=GenRev!C28</f>
        <v>1</v>
      </c>
    </row>
    <row r="29" spans="1:91" s="16" customFormat="1">
      <c r="A29" s="3" t="s">
        <v>254</v>
      </c>
      <c r="C29" s="16" t="s">
        <v>215</v>
      </c>
      <c r="E29" s="16">
        <v>50963</v>
      </c>
      <c r="G29" s="3">
        <v>36333</v>
      </c>
      <c r="H29" s="3"/>
      <c r="I29" s="3">
        <v>0</v>
      </c>
      <c r="J29" s="3"/>
      <c r="K29" s="3">
        <v>9572607</v>
      </c>
      <c r="L29" s="3"/>
      <c r="M29" s="32">
        <v>276788</v>
      </c>
      <c r="N29" s="3"/>
      <c r="O29" s="3">
        <v>0</v>
      </c>
      <c r="P29" s="3"/>
      <c r="Q29" s="3">
        <v>1478390</v>
      </c>
      <c r="R29" s="3"/>
      <c r="S29" s="3">
        <v>533310</v>
      </c>
      <c r="T29" s="3"/>
      <c r="U29" s="3">
        <v>49091</v>
      </c>
      <c r="V29" s="3"/>
      <c r="W29" s="3">
        <v>1352447</v>
      </c>
      <c r="X29" s="3"/>
      <c r="Y29" s="3">
        <v>486830</v>
      </c>
      <c r="Z29" s="3"/>
      <c r="AA29" s="3">
        <v>62467</v>
      </c>
      <c r="AB29" s="3"/>
      <c r="AC29" s="3">
        <v>1367821</v>
      </c>
      <c r="AD29" s="3" t="s">
        <v>254</v>
      </c>
      <c r="AF29" s="16" t="s">
        <v>215</v>
      </c>
      <c r="AH29" s="3">
        <v>23028</v>
      </c>
      <c r="AI29" s="3"/>
      <c r="AJ29" s="3">
        <v>328958</v>
      </c>
      <c r="AK29" s="3"/>
      <c r="AL29" s="3">
        <v>0</v>
      </c>
      <c r="AM29" s="3"/>
      <c r="AN29" s="3">
        <v>0</v>
      </c>
      <c r="AO29" s="3"/>
      <c r="AP29" s="3">
        <v>428</v>
      </c>
      <c r="AQ29" s="3"/>
      <c r="AR29" s="3">
        <v>74191</v>
      </c>
      <c r="AS29" s="3"/>
      <c r="AT29" s="3">
        <v>0</v>
      </c>
      <c r="AU29" s="3"/>
      <c r="AV29" s="3">
        <v>0</v>
      </c>
      <c r="AW29" s="3"/>
      <c r="AX29" s="3">
        <v>0</v>
      </c>
      <c r="AY29" s="3"/>
      <c r="AZ29" s="3">
        <v>0</v>
      </c>
      <c r="BA29" s="3"/>
      <c r="BB29" s="3">
        <f t="shared" si="10"/>
        <v>15642689</v>
      </c>
      <c r="BC29" s="3"/>
      <c r="BD29" s="3">
        <v>385485</v>
      </c>
      <c r="BE29" s="3"/>
      <c r="BF29" s="3">
        <v>0</v>
      </c>
      <c r="BG29" s="3"/>
      <c r="BH29" s="3">
        <v>0</v>
      </c>
      <c r="BI29" s="3"/>
      <c r="BJ29" s="3">
        <v>0</v>
      </c>
      <c r="BK29" s="3" t="s">
        <v>254</v>
      </c>
      <c r="BM29" s="16" t="s">
        <v>215</v>
      </c>
      <c r="BN29" s="3"/>
      <c r="BO29" s="3">
        <f t="shared" si="1"/>
        <v>16028174</v>
      </c>
      <c r="BP29" s="3"/>
      <c r="BQ29" s="3">
        <f>GenRev!AW29-BO29</f>
        <v>-1420308</v>
      </c>
      <c r="BR29" s="3"/>
      <c r="BS29" s="3">
        <v>8994190</v>
      </c>
      <c r="BT29" s="3"/>
      <c r="BU29" s="3">
        <v>0</v>
      </c>
      <c r="BV29" s="3"/>
      <c r="BW29" s="3">
        <f t="shared" si="2"/>
        <v>7573882</v>
      </c>
      <c r="BX29" s="3"/>
      <c r="BY29" s="17">
        <f>+BW29-GenBS!AE29</f>
        <v>0</v>
      </c>
      <c r="CB29" s="3"/>
      <c r="CC29" s="3" t="str">
        <f t="shared" si="3"/>
        <v>Four County Career Center</v>
      </c>
      <c r="CD29" s="3" t="b">
        <f t="shared" si="4"/>
        <v>1</v>
      </c>
      <c r="CE29" s="3" t="b">
        <f t="shared" si="5"/>
        <v>1</v>
      </c>
      <c r="CF29" s="3" t="str">
        <f>GenRev!A29</f>
        <v>Four County Career Center</v>
      </c>
      <c r="CG29" s="16" t="b">
        <f t="shared" si="6"/>
        <v>1</v>
      </c>
      <c r="CI29" s="3" t="str">
        <f t="shared" si="7"/>
        <v>Henry</v>
      </c>
      <c r="CJ29" s="16" t="b">
        <f t="shared" si="8"/>
        <v>1</v>
      </c>
      <c r="CK29" s="16" t="b">
        <f t="shared" si="9"/>
        <v>1</v>
      </c>
      <c r="CM29" s="16" t="b">
        <f>C29=GenRev!C29</f>
        <v>1</v>
      </c>
    </row>
    <row r="30" spans="1:91" s="16" customFormat="1">
      <c r="A30" s="3" t="s">
        <v>214</v>
      </c>
      <c r="C30" s="16" t="s">
        <v>168</v>
      </c>
      <c r="E30" s="16">
        <v>62067</v>
      </c>
      <c r="G30" s="3">
        <v>34692</v>
      </c>
      <c r="H30" s="3"/>
      <c r="I30" s="3">
        <v>0</v>
      </c>
      <c r="J30" s="3"/>
      <c r="K30" s="3">
        <v>4674977</v>
      </c>
      <c r="L30" s="3"/>
      <c r="M30" s="32">
        <v>57000</v>
      </c>
      <c r="N30" s="3"/>
      <c r="O30" s="3">
        <v>0</v>
      </c>
      <c r="P30" s="3"/>
      <c r="Q30" s="3">
        <v>360165</v>
      </c>
      <c r="R30" s="3"/>
      <c r="S30" s="3">
        <v>352181</v>
      </c>
      <c r="T30" s="3"/>
      <c r="U30" s="3">
        <v>72687</v>
      </c>
      <c r="V30" s="3"/>
      <c r="W30" s="3">
        <v>480739</v>
      </c>
      <c r="X30" s="3"/>
      <c r="Y30" s="3">
        <v>366899</v>
      </c>
      <c r="Z30" s="3"/>
      <c r="AA30" s="3">
        <v>56355</v>
      </c>
      <c r="AB30" s="3"/>
      <c r="AC30" s="3">
        <v>880747</v>
      </c>
      <c r="AD30" s="3" t="s">
        <v>214</v>
      </c>
      <c r="AF30" s="16" t="s">
        <v>168</v>
      </c>
      <c r="AH30" s="3">
        <v>9514</v>
      </c>
      <c r="AI30" s="3"/>
      <c r="AJ30" s="3">
        <v>318979</v>
      </c>
      <c r="AK30" s="3"/>
      <c r="AL30" s="3">
        <v>0</v>
      </c>
      <c r="AM30" s="3"/>
      <c r="AN30" s="3">
        <v>0</v>
      </c>
      <c r="AO30" s="3"/>
      <c r="AP30" s="3">
        <v>0</v>
      </c>
      <c r="AQ30" s="3"/>
      <c r="AR30" s="3">
        <v>11971</v>
      </c>
      <c r="AS30" s="3"/>
      <c r="AT30" s="3">
        <v>0</v>
      </c>
      <c r="AU30" s="3"/>
      <c r="AV30" s="3">
        <v>0</v>
      </c>
      <c r="AW30" s="3"/>
      <c r="AX30" s="3">
        <v>204000</v>
      </c>
      <c r="AY30" s="3"/>
      <c r="AZ30" s="3">
        <v>61526</v>
      </c>
      <c r="BA30" s="3"/>
      <c r="BB30" s="3">
        <f t="shared" si="10"/>
        <v>7942432</v>
      </c>
      <c r="BC30" s="3"/>
      <c r="BD30" s="3">
        <v>183691</v>
      </c>
      <c r="BE30" s="3"/>
      <c r="BF30" s="3">
        <v>0</v>
      </c>
      <c r="BG30" s="3"/>
      <c r="BH30" s="3">
        <v>0</v>
      </c>
      <c r="BI30" s="3"/>
      <c r="BJ30" s="3">
        <v>0</v>
      </c>
      <c r="BK30" s="3" t="s">
        <v>214</v>
      </c>
      <c r="BM30" s="16" t="s">
        <v>168</v>
      </c>
      <c r="BN30" s="3"/>
      <c r="BO30" s="3">
        <f t="shared" si="1"/>
        <v>8126123</v>
      </c>
      <c r="BP30" s="3"/>
      <c r="BQ30" s="3">
        <f>GenRev!AW30-BO30</f>
        <v>8714</v>
      </c>
      <c r="BR30" s="3"/>
      <c r="BS30" s="3">
        <v>1528028</v>
      </c>
      <c r="BT30" s="3"/>
      <c r="BU30" s="3">
        <v>0</v>
      </c>
      <c r="BV30" s="3"/>
      <c r="BW30" s="3">
        <f t="shared" si="2"/>
        <v>1536742</v>
      </c>
      <c r="BX30" s="3"/>
      <c r="BY30" s="17">
        <f>+BW30-GenBS!AE30</f>
        <v>0</v>
      </c>
      <c r="CB30" s="3"/>
      <c r="CC30" s="3" t="str">
        <f t="shared" si="3"/>
        <v>Gallia-Jackson-Vinton JVSD</v>
      </c>
      <c r="CD30" s="3" t="b">
        <f t="shared" si="4"/>
        <v>1</v>
      </c>
      <c r="CE30" s="3" t="b">
        <f t="shared" si="5"/>
        <v>1</v>
      </c>
      <c r="CF30" s="3" t="str">
        <f>GenRev!A30</f>
        <v>Gallia-Jackson-Vinton JVSD</v>
      </c>
      <c r="CG30" s="16" t="b">
        <f t="shared" si="6"/>
        <v>1</v>
      </c>
      <c r="CI30" s="3" t="str">
        <f t="shared" si="7"/>
        <v>Gallia</v>
      </c>
      <c r="CJ30" s="16" t="b">
        <f t="shared" si="8"/>
        <v>1</v>
      </c>
      <c r="CK30" s="16" t="b">
        <f t="shared" si="9"/>
        <v>1</v>
      </c>
      <c r="CM30" s="16" t="b">
        <f>C30=GenRev!C30</f>
        <v>1</v>
      </c>
    </row>
    <row r="31" spans="1:91" s="16" customFormat="1">
      <c r="A31" s="3" t="s">
        <v>327</v>
      </c>
      <c r="C31" s="16" t="s">
        <v>171</v>
      </c>
      <c r="E31" s="16">
        <v>51060</v>
      </c>
      <c r="G31" s="3">
        <v>7963183</v>
      </c>
      <c r="H31" s="3"/>
      <c r="I31" s="3">
        <v>0</v>
      </c>
      <c r="J31" s="3"/>
      <c r="K31" s="3">
        <v>20912473</v>
      </c>
      <c r="L31" s="3"/>
      <c r="M31" s="32">
        <v>200316</v>
      </c>
      <c r="N31" s="3"/>
      <c r="O31" s="3">
        <v>0</v>
      </c>
      <c r="P31" s="3"/>
      <c r="Q31" s="3">
        <v>2161781</v>
      </c>
      <c r="R31" s="3"/>
      <c r="S31" s="3">
        <v>2739643</v>
      </c>
      <c r="T31" s="3"/>
      <c r="U31" s="3">
        <v>461719</v>
      </c>
      <c r="V31" s="3"/>
      <c r="W31" s="3">
        <v>4463080</v>
      </c>
      <c r="X31" s="3"/>
      <c r="Y31" s="3">
        <v>2182118</v>
      </c>
      <c r="Z31" s="3"/>
      <c r="AA31" s="3">
        <v>1177243</v>
      </c>
      <c r="AB31" s="3"/>
      <c r="AC31" s="3">
        <v>6919292</v>
      </c>
      <c r="AD31" s="3" t="s">
        <v>327</v>
      </c>
      <c r="AF31" s="16" t="s">
        <v>171</v>
      </c>
      <c r="AH31" s="3">
        <v>397964</v>
      </c>
      <c r="AI31" s="3"/>
      <c r="AJ31" s="3">
        <v>2903852</v>
      </c>
      <c r="AK31" s="3"/>
      <c r="AL31" s="3">
        <v>0</v>
      </c>
      <c r="AM31" s="3"/>
      <c r="AN31" s="3">
        <v>0</v>
      </c>
      <c r="AO31" s="3"/>
      <c r="AP31" s="3">
        <v>326303</v>
      </c>
      <c r="AQ31" s="3"/>
      <c r="AR31" s="3">
        <v>0</v>
      </c>
      <c r="AS31" s="3"/>
      <c r="AT31" s="3">
        <v>0</v>
      </c>
      <c r="AU31" s="3"/>
      <c r="AV31" s="3">
        <v>0</v>
      </c>
      <c r="AW31" s="3"/>
      <c r="AX31" s="3">
        <v>0</v>
      </c>
      <c r="AY31" s="3"/>
      <c r="AZ31" s="3">
        <v>0</v>
      </c>
      <c r="BA31" s="3"/>
      <c r="BB31" s="3">
        <f t="shared" si="10"/>
        <v>52808967</v>
      </c>
      <c r="BC31" s="3"/>
      <c r="BD31" s="3">
        <v>5264900</v>
      </c>
      <c r="BE31" s="3"/>
      <c r="BF31" s="3">
        <v>0</v>
      </c>
      <c r="BG31" s="3"/>
      <c r="BH31" s="3">
        <v>0</v>
      </c>
      <c r="BI31" s="3"/>
      <c r="BJ31" s="3">
        <v>0</v>
      </c>
      <c r="BK31" s="3" t="s">
        <v>327</v>
      </c>
      <c r="BM31" s="16" t="s">
        <v>171</v>
      </c>
      <c r="BN31" s="3"/>
      <c r="BO31" s="3">
        <f t="shared" si="1"/>
        <v>58073867</v>
      </c>
      <c r="BP31" s="3"/>
      <c r="BQ31" s="3">
        <f>GenRev!AW31-BO31</f>
        <v>2675803</v>
      </c>
      <c r="BR31" s="3"/>
      <c r="BS31" s="3">
        <v>34363068</v>
      </c>
      <c r="BT31" s="3"/>
      <c r="BU31" s="3">
        <v>0</v>
      </c>
      <c r="BV31" s="3"/>
      <c r="BW31" s="3">
        <f t="shared" si="2"/>
        <v>37038871</v>
      </c>
      <c r="BX31" s="3"/>
      <c r="BY31" s="17">
        <f>+BW31-GenBS!AE31</f>
        <v>0</v>
      </c>
      <c r="CB31" s="3" t="s">
        <v>383</v>
      </c>
      <c r="CC31" s="3" t="str">
        <f t="shared" si="3"/>
        <v>Great Oaks Inst of Technology &amp; Career Development</v>
      </c>
      <c r="CD31" s="3" t="b">
        <f t="shared" si="4"/>
        <v>1</v>
      </c>
      <c r="CE31" s="3" t="b">
        <f t="shared" si="5"/>
        <v>1</v>
      </c>
      <c r="CF31" s="3" t="str">
        <f>GenRev!A31</f>
        <v>Great Oaks Inst of Technology &amp; Career Development</v>
      </c>
      <c r="CG31" s="16" t="b">
        <f t="shared" si="6"/>
        <v>1</v>
      </c>
      <c r="CI31" s="3" t="str">
        <f t="shared" si="7"/>
        <v>Hamilton</v>
      </c>
      <c r="CJ31" s="16" t="b">
        <f t="shared" si="8"/>
        <v>1</v>
      </c>
      <c r="CK31" s="16" t="b">
        <f t="shared" si="9"/>
        <v>1</v>
      </c>
      <c r="CM31" s="16" t="b">
        <f>C31=GenRev!C31</f>
        <v>1</v>
      </c>
    </row>
    <row r="32" spans="1:91" s="16" customFormat="1">
      <c r="A32" s="3" t="s">
        <v>386</v>
      </c>
      <c r="C32" s="16" t="s">
        <v>170</v>
      </c>
      <c r="E32" s="16">
        <v>51045</v>
      </c>
      <c r="G32" s="3">
        <v>845847</v>
      </c>
      <c r="H32" s="3"/>
      <c r="I32" s="3">
        <v>0</v>
      </c>
      <c r="J32" s="3"/>
      <c r="K32" s="3">
        <v>6234870</v>
      </c>
      <c r="L32" s="3"/>
      <c r="M32" s="32">
        <v>0</v>
      </c>
      <c r="N32" s="3"/>
      <c r="O32" s="3">
        <v>0</v>
      </c>
      <c r="P32" s="3"/>
      <c r="Q32" s="3">
        <v>718594</v>
      </c>
      <c r="R32" s="3"/>
      <c r="S32" s="3">
        <v>1553726</v>
      </c>
      <c r="T32" s="3"/>
      <c r="U32" s="3">
        <v>164700</v>
      </c>
      <c r="V32" s="3"/>
      <c r="W32" s="3">
        <v>667439</v>
      </c>
      <c r="X32" s="3"/>
      <c r="Y32" s="3">
        <v>490651</v>
      </c>
      <c r="Z32" s="3"/>
      <c r="AA32" s="3">
        <v>0</v>
      </c>
      <c r="AB32" s="3"/>
      <c r="AC32" s="3">
        <v>1176665</v>
      </c>
      <c r="AD32" s="3" t="s">
        <v>386</v>
      </c>
      <c r="AF32" s="16" t="s">
        <v>170</v>
      </c>
      <c r="AH32" s="3">
        <v>0</v>
      </c>
      <c r="AI32" s="3"/>
      <c r="AJ32" s="3">
        <v>221636</v>
      </c>
      <c r="AK32" s="3"/>
      <c r="AL32" s="3">
        <v>0</v>
      </c>
      <c r="AM32" s="3"/>
      <c r="AN32" s="3">
        <v>0</v>
      </c>
      <c r="AO32" s="3"/>
      <c r="AP32" s="3">
        <v>0</v>
      </c>
      <c r="AQ32" s="3"/>
      <c r="AR32" s="3">
        <v>15052</v>
      </c>
      <c r="AS32" s="3"/>
      <c r="AT32" s="3">
        <v>0</v>
      </c>
      <c r="AU32" s="3"/>
      <c r="AV32" s="3">
        <v>0</v>
      </c>
      <c r="AW32" s="3"/>
      <c r="AX32" s="3">
        <v>0</v>
      </c>
      <c r="AY32" s="3"/>
      <c r="AZ32" s="3">
        <v>0</v>
      </c>
      <c r="BA32" s="3"/>
      <c r="BB32" s="3">
        <f t="shared" si="10"/>
        <v>12089180</v>
      </c>
      <c r="BC32" s="3"/>
      <c r="BD32" s="3">
        <v>381441</v>
      </c>
      <c r="BE32" s="3"/>
      <c r="BF32" s="3">
        <v>0</v>
      </c>
      <c r="BG32" s="3"/>
      <c r="BH32" s="3">
        <v>0</v>
      </c>
      <c r="BI32" s="3"/>
      <c r="BJ32" s="3">
        <v>0</v>
      </c>
      <c r="BK32" s="3" t="s">
        <v>386</v>
      </c>
      <c r="BM32" s="16" t="s">
        <v>170</v>
      </c>
      <c r="BN32" s="3"/>
      <c r="BO32" s="3">
        <f t="shared" si="1"/>
        <v>12470621</v>
      </c>
      <c r="BP32" s="3"/>
      <c r="BQ32" s="3">
        <f>GenRev!AW32-BO32</f>
        <v>746935</v>
      </c>
      <c r="BR32" s="3"/>
      <c r="BS32" s="3">
        <v>3446110</v>
      </c>
      <c r="BT32" s="3"/>
      <c r="BU32" s="3">
        <v>0</v>
      </c>
      <c r="BV32" s="3"/>
      <c r="BW32" s="3">
        <f t="shared" si="2"/>
        <v>4193045</v>
      </c>
      <c r="BX32" s="3"/>
      <c r="BY32" s="17">
        <f>+BW32-GenBS!AE32</f>
        <v>0</v>
      </c>
      <c r="CB32" s="3"/>
      <c r="CC32" s="3" t="str">
        <f t="shared" si="3"/>
        <v>Greene County VSD</v>
      </c>
      <c r="CD32" s="3" t="b">
        <f t="shared" si="4"/>
        <v>1</v>
      </c>
      <c r="CE32" s="3" t="b">
        <f t="shared" si="5"/>
        <v>1</v>
      </c>
      <c r="CF32" s="3" t="str">
        <f>GenRev!A32</f>
        <v>Greene County VSD</v>
      </c>
      <c r="CG32" s="16" t="b">
        <f t="shared" si="6"/>
        <v>1</v>
      </c>
      <c r="CI32" s="3" t="str">
        <f t="shared" si="7"/>
        <v>Greene</v>
      </c>
      <c r="CJ32" s="16" t="b">
        <f t="shared" si="8"/>
        <v>1</v>
      </c>
      <c r="CK32" s="16" t="b">
        <f t="shared" si="9"/>
        <v>1</v>
      </c>
      <c r="CM32" s="16" t="b">
        <f>C32=GenRev!C32</f>
        <v>1</v>
      </c>
    </row>
    <row r="33" spans="1:91" s="16" customFormat="1">
      <c r="A33" s="3" t="s">
        <v>216</v>
      </c>
      <c r="C33" s="16" t="s">
        <v>173</v>
      </c>
      <c r="E33" s="16">
        <v>51128</v>
      </c>
      <c r="G33" s="3">
        <v>346208</v>
      </c>
      <c r="H33" s="3"/>
      <c r="I33" s="3">
        <v>228503</v>
      </c>
      <c r="J33" s="3"/>
      <c r="K33" s="3">
        <v>2507575</v>
      </c>
      <c r="L33" s="3"/>
      <c r="M33" s="32">
        <v>3619</v>
      </c>
      <c r="N33" s="3"/>
      <c r="O33" s="3">
        <v>13152</v>
      </c>
      <c r="P33" s="3"/>
      <c r="Q33" s="3">
        <v>196999</v>
      </c>
      <c r="R33" s="3"/>
      <c r="S33" s="3">
        <v>298426</v>
      </c>
      <c r="T33" s="3"/>
      <c r="U33" s="3">
        <v>35312</v>
      </c>
      <c r="V33" s="3"/>
      <c r="W33" s="3">
        <v>221969</v>
      </c>
      <c r="X33" s="3"/>
      <c r="Y33" s="3">
        <v>228288</v>
      </c>
      <c r="Z33" s="3"/>
      <c r="AA33" s="3">
        <v>0</v>
      </c>
      <c r="AB33" s="3"/>
      <c r="AC33" s="3">
        <v>649442</v>
      </c>
      <c r="AD33" s="3" t="s">
        <v>216</v>
      </c>
      <c r="AF33" s="16" t="s">
        <v>173</v>
      </c>
      <c r="AH33" s="3">
        <v>0</v>
      </c>
      <c r="AI33" s="3"/>
      <c r="AJ33" s="3">
        <v>8733</v>
      </c>
      <c r="AK33" s="3"/>
      <c r="AL33" s="3">
        <v>0</v>
      </c>
      <c r="AM33" s="3"/>
      <c r="AN33" s="3">
        <v>0</v>
      </c>
      <c r="AO33" s="3"/>
      <c r="AP33" s="3">
        <v>0</v>
      </c>
      <c r="AQ33" s="3"/>
      <c r="AR33" s="3">
        <v>0</v>
      </c>
      <c r="AS33" s="3"/>
      <c r="AT33" s="3">
        <v>0</v>
      </c>
      <c r="AU33" s="3"/>
      <c r="AV33" s="3">
        <v>0</v>
      </c>
      <c r="AW33" s="3"/>
      <c r="AX33" s="3">
        <v>0</v>
      </c>
      <c r="AY33" s="3"/>
      <c r="AZ33" s="3">
        <v>1866</v>
      </c>
      <c r="BA33" s="3"/>
      <c r="BB33" s="3">
        <f t="shared" si="10"/>
        <v>4740092</v>
      </c>
      <c r="BC33" s="3"/>
      <c r="BD33" s="3">
        <v>95325</v>
      </c>
      <c r="BE33" s="3"/>
      <c r="BF33" s="3">
        <v>0</v>
      </c>
      <c r="BG33" s="3"/>
      <c r="BH33" s="3">
        <v>0</v>
      </c>
      <c r="BI33" s="3"/>
      <c r="BJ33" s="3">
        <v>0</v>
      </c>
      <c r="BK33" s="3" t="s">
        <v>216</v>
      </c>
      <c r="BM33" s="16" t="s">
        <v>173</v>
      </c>
      <c r="BN33" s="3"/>
      <c r="BO33" s="3">
        <f t="shared" si="1"/>
        <v>4835417</v>
      </c>
      <c r="BP33" s="3"/>
      <c r="BQ33" s="3">
        <f>GenRev!AW33-BO33</f>
        <v>-40348</v>
      </c>
      <c r="BR33" s="3"/>
      <c r="BS33" s="3">
        <v>-160231</v>
      </c>
      <c r="BT33" s="3"/>
      <c r="BU33" s="3">
        <v>0</v>
      </c>
      <c r="BV33" s="3"/>
      <c r="BW33" s="3">
        <f t="shared" si="2"/>
        <v>-200579</v>
      </c>
      <c r="BX33" s="3"/>
      <c r="BY33" s="17">
        <f>+BW33-GenBS!AE33</f>
        <v>0</v>
      </c>
      <c r="CB33" s="3"/>
      <c r="CC33" s="3" t="str">
        <f t="shared" si="3"/>
        <v>Jefferson County JVSD</v>
      </c>
      <c r="CD33" s="3" t="b">
        <f t="shared" si="4"/>
        <v>1</v>
      </c>
      <c r="CE33" s="3" t="b">
        <f t="shared" si="5"/>
        <v>1</v>
      </c>
      <c r="CF33" s="3" t="str">
        <f>GenRev!A33</f>
        <v>Jefferson County JVSD</v>
      </c>
      <c r="CG33" s="16" t="b">
        <f t="shared" si="6"/>
        <v>1</v>
      </c>
      <c r="CI33" s="3" t="str">
        <f t="shared" si="7"/>
        <v>Jefferson</v>
      </c>
      <c r="CJ33" s="16" t="b">
        <f t="shared" si="8"/>
        <v>1</v>
      </c>
      <c r="CK33" s="16" t="b">
        <f t="shared" si="9"/>
        <v>1</v>
      </c>
      <c r="CM33" s="16" t="b">
        <f>C33=GenRev!C33</f>
        <v>1</v>
      </c>
    </row>
    <row r="34" spans="1:91" s="16" customFormat="1">
      <c r="A34" s="3" t="s">
        <v>255</v>
      </c>
      <c r="C34" s="16" t="s">
        <v>174</v>
      </c>
      <c r="E34" s="16">
        <v>51144</v>
      </c>
      <c r="G34" s="3">
        <v>84522</v>
      </c>
      <c r="H34" s="3"/>
      <c r="I34" s="3">
        <v>0</v>
      </c>
      <c r="J34" s="3"/>
      <c r="K34" s="3">
        <v>5069609</v>
      </c>
      <c r="L34" s="3"/>
      <c r="M34" s="32">
        <v>0</v>
      </c>
      <c r="N34" s="3"/>
      <c r="O34" s="3">
        <v>0</v>
      </c>
      <c r="P34" s="3"/>
      <c r="Q34" s="3">
        <v>554144</v>
      </c>
      <c r="R34" s="3"/>
      <c r="S34" s="3">
        <v>568799</v>
      </c>
      <c r="T34" s="3"/>
      <c r="U34" s="3">
        <v>17293</v>
      </c>
      <c r="V34" s="3"/>
      <c r="W34" s="3">
        <v>726972</v>
      </c>
      <c r="X34" s="3"/>
      <c r="Y34" s="3">
        <v>412794</v>
      </c>
      <c r="Z34" s="3"/>
      <c r="AA34" s="3">
        <v>49987</v>
      </c>
      <c r="AB34" s="3"/>
      <c r="AC34" s="3">
        <v>1203949</v>
      </c>
      <c r="AD34" s="3" t="s">
        <v>255</v>
      </c>
      <c r="AF34" s="16" t="s">
        <v>174</v>
      </c>
      <c r="AH34" s="3">
        <v>0</v>
      </c>
      <c r="AI34" s="3"/>
      <c r="AJ34" s="3">
        <v>92092</v>
      </c>
      <c r="AK34" s="3"/>
      <c r="AL34" s="3">
        <v>0</v>
      </c>
      <c r="AM34" s="3"/>
      <c r="AN34" s="3">
        <v>0</v>
      </c>
      <c r="AO34" s="3"/>
      <c r="AP34" s="3">
        <v>0</v>
      </c>
      <c r="AQ34" s="3"/>
      <c r="AR34" s="3">
        <v>46806</v>
      </c>
      <c r="AS34" s="3"/>
      <c r="AT34" s="3">
        <v>183565</v>
      </c>
      <c r="AU34" s="3"/>
      <c r="AV34" s="3">
        <v>0</v>
      </c>
      <c r="AW34" s="3"/>
      <c r="AX34" s="3">
        <v>222846</v>
      </c>
      <c r="AY34" s="3"/>
      <c r="AZ34" s="3">
        <v>217084</v>
      </c>
      <c r="BA34" s="3"/>
      <c r="BB34" s="3">
        <f t="shared" si="10"/>
        <v>9450462</v>
      </c>
      <c r="BC34" s="3"/>
      <c r="BD34" s="3">
        <v>194091</v>
      </c>
      <c r="BE34" s="3"/>
      <c r="BF34" s="3">
        <v>0</v>
      </c>
      <c r="BG34" s="3"/>
      <c r="BH34" s="3">
        <v>0</v>
      </c>
      <c r="BI34" s="3"/>
      <c r="BJ34" s="3">
        <v>0</v>
      </c>
      <c r="BK34" s="3" t="s">
        <v>255</v>
      </c>
      <c r="BM34" s="16" t="s">
        <v>174</v>
      </c>
      <c r="BN34" s="3"/>
      <c r="BO34" s="3">
        <f t="shared" si="1"/>
        <v>9644553</v>
      </c>
      <c r="BP34" s="3"/>
      <c r="BQ34" s="3">
        <f>GenRev!AW34-BO34</f>
        <v>-33489</v>
      </c>
      <c r="BR34" s="3"/>
      <c r="BS34" s="3">
        <v>11745293</v>
      </c>
      <c r="BT34" s="3"/>
      <c r="BU34" s="3">
        <v>0</v>
      </c>
      <c r="BV34" s="3"/>
      <c r="BW34" s="3">
        <f t="shared" si="2"/>
        <v>11711804</v>
      </c>
      <c r="BX34" s="3"/>
      <c r="BY34" s="17">
        <f>+BW34-GenBS!AE34</f>
        <v>0</v>
      </c>
      <c r="CB34" s="3"/>
      <c r="CC34" s="3" t="str">
        <f t="shared" si="3"/>
        <v>Knox County Career Center</v>
      </c>
      <c r="CD34" s="3" t="b">
        <f t="shared" si="4"/>
        <v>1</v>
      </c>
      <c r="CE34" s="3" t="b">
        <f t="shared" si="5"/>
        <v>1</v>
      </c>
      <c r="CF34" s="3" t="str">
        <f>GenRev!A34</f>
        <v>Knox County Career Center</v>
      </c>
      <c r="CG34" s="16" t="b">
        <f t="shared" si="6"/>
        <v>1</v>
      </c>
      <c r="CI34" s="3" t="str">
        <f t="shared" si="7"/>
        <v>Knox</v>
      </c>
      <c r="CJ34" s="16" t="b">
        <f t="shared" si="8"/>
        <v>1</v>
      </c>
      <c r="CK34" s="16" t="b">
        <f t="shared" si="9"/>
        <v>1</v>
      </c>
      <c r="CM34" s="16" t="b">
        <f>C34=GenRev!C34</f>
        <v>1</v>
      </c>
    </row>
    <row r="35" spans="1:91" s="16" customFormat="1">
      <c r="A35" s="3" t="s">
        <v>217</v>
      </c>
      <c r="C35" s="16" t="s">
        <v>175</v>
      </c>
      <c r="E35" s="16">
        <v>51185</v>
      </c>
      <c r="G35" s="3">
        <v>540</v>
      </c>
      <c r="H35" s="3"/>
      <c r="I35" s="3">
        <v>0</v>
      </c>
      <c r="J35" s="3"/>
      <c r="K35" s="3">
        <v>5332554</v>
      </c>
      <c r="L35" s="3"/>
      <c r="M35" s="32">
        <v>0</v>
      </c>
      <c r="N35" s="3"/>
      <c r="O35" s="3">
        <v>0</v>
      </c>
      <c r="P35" s="3"/>
      <c r="Q35" s="3">
        <v>163254</v>
      </c>
      <c r="R35" s="3"/>
      <c r="S35" s="3">
        <v>50722</v>
      </c>
      <c r="T35" s="3"/>
      <c r="U35" s="3">
        <v>61160</v>
      </c>
      <c r="V35" s="3"/>
      <c r="W35" s="3">
        <v>587502</v>
      </c>
      <c r="X35" s="3"/>
      <c r="Y35" s="3">
        <v>307603</v>
      </c>
      <c r="Z35" s="3"/>
      <c r="AA35" s="3">
        <v>0</v>
      </c>
      <c r="AB35" s="3"/>
      <c r="AC35" s="3">
        <v>706080</v>
      </c>
      <c r="AD35" s="3" t="s">
        <v>217</v>
      </c>
      <c r="AF35" s="16" t="s">
        <v>175</v>
      </c>
      <c r="AH35" s="3">
        <v>0</v>
      </c>
      <c r="AI35" s="3"/>
      <c r="AJ35" s="3">
        <v>42520</v>
      </c>
      <c r="AK35" s="3"/>
      <c r="AL35" s="3">
        <v>0</v>
      </c>
      <c r="AM35" s="3"/>
      <c r="AN35" s="3">
        <v>0</v>
      </c>
      <c r="AO35" s="3"/>
      <c r="AP35" s="3">
        <v>0</v>
      </c>
      <c r="AQ35" s="3"/>
      <c r="AR35" s="3">
        <v>41836</v>
      </c>
      <c r="AS35" s="3"/>
      <c r="AT35" s="3">
        <v>0</v>
      </c>
      <c r="AU35" s="3"/>
      <c r="AV35" s="3">
        <v>0</v>
      </c>
      <c r="AW35" s="3"/>
      <c r="AX35" s="3">
        <v>0</v>
      </c>
      <c r="AY35" s="3"/>
      <c r="AZ35" s="3">
        <v>0</v>
      </c>
      <c r="BA35" s="3"/>
      <c r="BB35" s="3">
        <f t="shared" si="10"/>
        <v>7293771</v>
      </c>
      <c r="BC35" s="3"/>
      <c r="BD35" s="3">
        <v>186864</v>
      </c>
      <c r="BE35" s="3"/>
      <c r="BF35" s="3">
        <v>0</v>
      </c>
      <c r="BG35" s="3"/>
      <c r="BH35" s="3">
        <v>0</v>
      </c>
      <c r="BI35" s="3"/>
      <c r="BJ35" s="3">
        <v>0</v>
      </c>
      <c r="BK35" s="3" t="s">
        <v>217</v>
      </c>
      <c r="BM35" s="16" t="s">
        <v>175</v>
      </c>
      <c r="BN35" s="3"/>
      <c r="BO35" s="3">
        <f t="shared" si="1"/>
        <v>7480635</v>
      </c>
      <c r="BP35" s="3"/>
      <c r="BQ35" s="3">
        <f>GenRev!AW35-BO35</f>
        <v>-365123</v>
      </c>
      <c r="BR35" s="3"/>
      <c r="BS35" s="3">
        <v>2991279</v>
      </c>
      <c r="BT35" s="3"/>
      <c r="BU35" s="3">
        <v>0</v>
      </c>
      <c r="BV35" s="3"/>
      <c r="BW35" s="3">
        <f t="shared" si="2"/>
        <v>2626156</v>
      </c>
      <c r="BX35" s="3"/>
      <c r="BY35" s="17">
        <f>+BW35-GenBS!AE35</f>
        <v>0</v>
      </c>
      <c r="CB35" s="3"/>
      <c r="CC35" s="3" t="str">
        <f t="shared" si="3"/>
        <v>Lawrence County JVSD</v>
      </c>
      <c r="CD35" s="3" t="b">
        <f t="shared" si="4"/>
        <v>1</v>
      </c>
      <c r="CE35" s="3" t="b">
        <f t="shared" si="5"/>
        <v>1</v>
      </c>
      <c r="CF35" s="3" t="str">
        <f>GenRev!A35</f>
        <v>Lawrence County JVSD</v>
      </c>
      <c r="CG35" s="16" t="b">
        <f t="shared" si="6"/>
        <v>1</v>
      </c>
      <c r="CI35" s="3" t="str">
        <f t="shared" si="7"/>
        <v>Lawrence</v>
      </c>
      <c r="CJ35" s="16" t="b">
        <f t="shared" si="8"/>
        <v>1</v>
      </c>
      <c r="CK35" s="16" t="b">
        <f t="shared" si="9"/>
        <v>1</v>
      </c>
      <c r="CM35" s="16" t="b">
        <f>C35=GenRev!C35</f>
        <v>1</v>
      </c>
    </row>
    <row r="36" spans="1:91" s="66" customFormat="1" hidden="1">
      <c r="A36" s="65" t="s">
        <v>308</v>
      </c>
      <c r="C36" s="66" t="s">
        <v>176</v>
      </c>
      <c r="E36" s="66">
        <v>47977</v>
      </c>
      <c r="G36" s="65"/>
      <c r="H36" s="65"/>
      <c r="I36" s="65"/>
      <c r="J36" s="65"/>
      <c r="K36" s="65"/>
      <c r="L36" s="65"/>
      <c r="M36" s="80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 t="s">
        <v>308</v>
      </c>
      <c r="AF36" s="66" t="s">
        <v>176</v>
      </c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>
        <f t="shared" si="10"/>
        <v>0</v>
      </c>
      <c r="BC36" s="65"/>
      <c r="BD36" s="65"/>
      <c r="BE36" s="65"/>
      <c r="BF36" s="65"/>
      <c r="BG36" s="65"/>
      <c r="BH36" s="65"/>
      <c r="BI36" s="65"/>
      <c r="BJ36" s="65"/>
      <c r="BK36" s="65" t="s">
        <v>308</v>
      </c>
      <c r="BM36" s="66" t="s">
        <v>176</v>
      </c>
      <c r="BN36" s="65"/>
      <c r="BO36" s="65">
        <f t="shared" si="1"/>
        <v>0</v>
      </c>
      <c r="BP36" s="65"/>
      <c r="BQ36" s="65">
        <f>GenRev!AW36-BO36</f>
        <v>0</v>
      </c>
      <c r="BR36" s="65"/>
      <c r="BS36" s="65"/>
      <c r="BT36" s="65"/>
      <c r="BU36" s="65">
        <v>0</v>
      </c>
      <c r="BV36" s="65"/>
      <c r="BW36" s="3">
        <f t="shared" si="2"/>
        <v>0</v>
      </c>
      <c r="BX36" s="65"/>
      <c r="BY36" s="67">
        <f>+BW36-GenBS!AE36</f>
        <v>0</v>
      </c>
      <c r="CB36" s="65" t="s">
        <v>389</v>
      </c>
      <c r="CC36" s="65" t="str">
        <f t="shared" si="3"/>
        <v>Licking Co Career &amp; Tech Center</v>
      </c>
      <c r="CD36" s="65" t="b">
        <f t="shared" si="4"/>
        <v>1</v>
      </c>
      <c r="CE36" s="65" t="b">
        <f t="shared" si="5"/>
        <v>1</v>
      </c>
      <c r="CF36" s="65" t="str">
        <f>GenRev!A36</f>
        <v>Licking Co Career &amp; Tech Center</v>
      </c>
      <c r="CG36" s="66" t="b">
        <f t="shared" si="6"/>
        <v>1</v>
      </c>
      <c r="CI36" s="65" t="str">
        <f t="shared" si="7"/>
        <v>Licking</v>
      </c>
      <c r="CJ36" s="66" t="b">
        <f t="shared" si="8"/>
        <v>1</v>
      </c>
      <c r="CK36" s="66" t="b">
        <f t="shared" si="9"/>
        <v>1</v>
      </c>
      <c r="CM36" s="66" t="b">
        <f>C36=GenRev!C36</f>
        <v>1</v>
      </c>
    </row>
    <row r="37" spans="1:91" s="16" customFormat="1">
      <c r="A37" s="3" t="s">
        <v>219</v>
      </c>
      <c r="C37" s="16" t="s">
        <v>145</v>
      </c>
      <c r="E37" s="16">
        <v>51227</v>
      </c>
      <c r="G37" s="3">
        <v>2141005</v>
      </c>
      <c r="H37" s="3"/>
      <c r="I37" s="3">
        <v>2554</v>
      </c>
      <c r="J37" s="3"/>
      <c r="K37" s="3">
        <v>9932362</v>
      </c>
      <c r="L37" s="3"/>
      <c r="M37" s="32">
        <v>1462055</v>
      </c>
      <c r="N37" s="3"/>
      <c r="O37" s="3">
        <v>0</v>
      </c>
      <c r="P37" s="3"/>
      <c r="Q37" s="3">
        <v>1345299</v>
      </c>
      <c r="R37" s="3"/>
      <c r="S37" s="3">
        <v>1561539</v>
      </c>
      <c r="T37" s="3"/>
      <c r="U37" s="3">
        <v>56008</v>
      </c>
      <c r="V37" s="3"/>
      <c r="W37" s="3">
        <v>1880788</v>
      </c>
      <c r="X37" s="3"/>
      <c r="Y37" s="3">
        <v>767825</v>
      </c>
      <c r="Z37" s="3"/>
      <c r="AA37" s="3">
        <v>168120</v>
      </c>
      <c r="AB37" s="3"/>
      <c r="AC37" s="3">
        <v>2387174</v>
      </c>
      <c r="AD37" s="3" t="s">
        <v>219</v>
      </c>
      <c r="AF37" s="16" t="s">
        <v>145</v>
      </c>
      <c r="AH37" s="3">
        <v>67047</v>
      </c>
      <c r="AI37" s="3"/>
      <c r="AJ37" s="3">
        <v>1007542</v>
      </c>
      <c r="AK37" s="3"/>
      <c r="AL37" s="3">
        <v>0</v>
      </c>
      <c r="AM37" s="3"/>
      <c r="AN37" s="3">
        <v>144491</v>
      </c>
      <c r="AO37" s="3"/>
      <c r="AP37" s="3">
        <v>0</v>
      </c>
      <c r="AQ37" s="3"/>
      <c r="AR37" s="3">
        <v>343543</v>
      </c>
      <c r="AS37" s="3"/>
      <c r="AT37" s="3">
        <v>10899</v>
      </c>
      <c r="AU37" s="3"/>
      <c r="AV37" s="3">
        <v>0</v>
      </c>
      <c r="AW37" s="3"/>
      <c r="AX37" s="3">
        <v>0</v>
      </c>
      <c r="AY37" s="3"/>
      <c r="AZ37" s="3">
        <v>0</v>
      </c>
      <c r="BA37" s="3"/>
      <c r="BB37" s="3">
        <f t="shared" si="10"/>
        <v>23278251</v>
      </c>
      <c r="BC37" s="3"/>
      <c r="BD37" s="3">
        <v>900000</v>
      </c>
      <c r="BE37" s="3"/>
      <c r="BF37" s="3">
        <v>0</v>
      </c>
      <c r="BG37" s="3"/>
      <c r="BH37" s="3">
        <v>0</v>
      </c>
      <c r="BI37" s="3"/>
      <c r="BJ37" s="3">
        <v>50000</v>
      </c>
      <c r="BK37" s="3" t="s">
        <v>219</v>
      </c>
      <c r="BM37" s="16" t="s">
        <v>145</v>
      </c>
      <c r="BN37" s="3"/>
      <c r="BO37" s="3">
        <f t="shared" si="1"/>
        <v>24228251</v>
      </c>
      <c r="BP37" s="3"/>
      <c r="BQ37" s="3">
        <f>GenRev!AW37-BO37</f>
        <v>-1007543</v>
      </c>
      <c r="BR37" s="3"/>
      <c r="BS37" s="3">
        <v>7690988</v>
      </c>
      <c r="BT37" s="3"/>
      <c r="BU37" s="3">
        <v>0</v>
      </c>
      <c r="BV37" s="3"/>
      <c r="BW37" s="3">
        <f t="shared" si="2"/>
        <v>6683445</v>
      </c>
      <c r="BX37" s="3"/>
      <c r="BY37" s="17">
        <f>+BW37-GenBS!AE37</f>
        <v>0</v>
      </c>
      <c r="CB37" s="3" t="s">
        <v>383</v>
      </c>
      <c r="CC37" s="3" t="str">
        <f t="shared" si="3"/>
        <v>Lorain County JVSD</v>
      </c>
      <c r="CD37" s="3" t="b">
        <f t="shared" si="4"/>
        <v>1</v>
      </c>
      <c r="CE37" s="3" t="b">
        <f t="shared" si="5"/>
        <v>1</v>
      </c>
      <c r="CF37" s="3" t="str">
        <f>GenRev!A37</f>
        <v>Lorain County JVSD</v>
      </c>
      <c r="CG37" s="16" t="b">
        <f t="shared" si="6"/>
        <v>1</v>
      </c>
      <c r="CI37" s="3" t="str">
        <f t="shared" si="7"/>
        <v>Lorain</v>
      </c>
      <c r="CJ37" s="16" t="b">
        <f t="shared" si="8"/>
        <v>1</v>
      </c>
      <c r="CK37" s="16" t="b">
        <f t="shared" si="9"/>
        <v>1</v>
      </c>
      <c r="CM37" s="16" t="b">
        <f>C37=GenRev!C37</f>
        <v>1</v>
      </c>
    </row>
    <row r="38" spans="1:91" s="16" customFormat="1">
      <c r="A38" s="3" t="s">
        <v>309</v>
      </c>
      <c r="C38" s="16" t="s">
        <v>179</v>
      </c>
      <c r="E38" s="16">
        <v>51243</v>
      </c>
      <c r="G38" s="3">
        <v>1316165</v>
      </c>
      <c r="H38" s="3"/>
      <c r="I38" s="3">
        <v>0</v>
      </c>
      <c r="J38" s="3"/>
      <c r="K38" s="3">
        <v>3373050</v>
      </c>
      <c r="L38" s="3"/>
      <c r="M38" s="32">
        <v>0</v>
      </c>
      <c r="N38" s="3"/>
      <c r="O38" s="3">
        <v>0</v>
      </c>
      <c r="P38" s="3"/>
      <c r="Q38" s="3">
        <v>913815</v>
      </c>
      <c r="R38" s="3"/>
      <c r="S38" s="3">
        <v>1410599</v>
      </c>
      <c r="T38" s="3"/>
      <c r="U38" s="3">
        <v>59251</v>
      </c>
      <c r="V38" s="3"/>
      <c r="W38" s="3">
        <v>745586</v>
      </c>
      <c r="X38" s="3"/>
      <c r="Y38" s="3">
        <v>413637</v>
      </c>
      <c r="Z38" s="3"/>
      <c r="AA38" s="3">
        <v>1886</v>
      </c>
      <c r="AB38" s="3"/>
      <c r="AC38" s="3">
        <v>1142235</v>
      </c>
      <c r="AD38" s="3" t="s">
        <v>309</v>
      </c>
      <c r="AF38" s="16" t="s">
        <v>179</v>
      </c>
      <c r="AH38" s="3">
        <v>36784</v>
      </c>
      <c r="AI38" s="3"/>
      <c r="AJ38" s="3">
        <v>87289</v>
      </c>
      <c r="AK38" s="3"/>
      <c r="AL38" s="3">
        <v>0</v>
      </c>
      <c r="AM38" s="3"/>
      <c r="AN38" s="3">
        <v>0</v>
      </c>
      <c r="AO38" s="3"/>
      <c r="AP38" s="3">
        <v>12369</v>
      </c>
      <c r="AQ38" s="3"/>
      <c r="AR38" s="3">
        <v>71396</v>
      </c>
      <c r="AS38" s="3"/>
      <c r="AT38" s="3">
        <v>271056</v>
      </c>
      <c r="AU38" s="3"/>
      <c r="AV38" s="3">
        <v>0</v>
      </c>
      <c r="AW38" s="3"/>
      <c r="AX38" s="3">
        <v>355000</v>
      </c>
      <c r="AY38" s="3"/>
      <c r="AZ38" s="3">
        <v>649976</v>
      </c>
      <c r="BA38" s="3"/>
      <c r="BB38" s="3">
        <f t="shared" si="10"/>
        <v>10860094</v>
      </c>
      <c r="BC38" s="3"/>
      <c r="BD38" s="3">
        <v>57126</v>
      </c>
      <c r="BE38" s="3"/>
      <c r="BF38" s="3">
        <v>0</v>
      </c>
      <c r="BG38" s="3"/>
      <c r="BH38" s="3">
        <v>0</v>
      </c>
      <c r="BI38" s="3"/>
      <c r="BJ38" s="3">
        <v>0</v>
      </c>
      <c r="BK38" s="3" t="s">
        <v>309</v>
      </c>
      <c r="BM38" s="16" t="s">
        <v>179</v>
      </c>
      <c r="BN38" s="3"/>
      <c r="BO38" s="3">
        <f t="shared" si="1"/>
        <v>10917220</v>
      </c>
      <c r="BP38" s="3"/>
      <c r="BQ38" s="3">
        <f>GenRev!AW38-BO38</f>
        <v>333575</v>
      </c>
      <c r="BR38" s="3"/>
      <c r="BS38" s="3">
        <v>19904678</v>
      </c>
      <c r="BT38" s="3"/>
      <c r="BU38" s="3">
        <v>0</v>
      </c>
      <c r="BV38" s="3"/>
      <c r="BW38" s="3">
        <f t="shared" si="2"/>
        <v>20238253</v>
      </c>
      <c r="BX38" s="3"/>
      <c r="BY38" s="17">
        <f>+BW38-GenBS!AE38</f>
        <v>0</v>
      </c>
      <c r="CB38" s="3"/>
      <c r="CC38" s="3" t="str">
        <f t="shared" si="3"/>
        <v>Mahoning Co Career &amp; Tech Center</v>
      </c>
      <c r="CD38" s="3" t="b">
        <f t="shared" si="4"/>
        <v>1</v>
      </c>
      <c r="CE38" s="3" t="b">
        <f t="shared" si="5"/>
        <v>1</v>
      </c>
      <c r="CF38" s="3" t="str">
        <f>GenRev!A38</f>
        <v>Mahoning Co Career &amp; Tech Center</v>
      </c>
      <c r="CG38" s="16" t="b">
        <f t="shared" si="6"/>
        <v>1</v>
      </c>
      <c r="CI38" s="3" t="str">
        <f t="shared" si="7"/>
        <v>Mahoning</v>
      </c>
      <c r="CJ38" s="16" t="b">
        <f t="shared" si="8"/>
        <v>1</v>
      </c>
      <c r="CK38" s="16" t="b">
        <f t="shared" si="9"/>
        <v>1</v>
      </c>
      <c r="CM38" s="16" t="b">
        <f>C38=GenRev!C38</f>
        <v>1</v>
      </c>
    </row>
    <row r="39" spans="1:91" s="16" customFormat="1">
      <c r="A39" s="3" t="s">
        <v>256</v>
      </c>
      <c r="C39" s="16" t="s">
        <v>190</v>
      </c>
      <c r="E39" s="16">
        <v>51391</v>
      </c>
      <c r="G39" s="3">
        <v>1123101</v>
      </c>
      <c r="H39" s="3"/>
      <c r="I39" s="3">
        <v>0</v>
      </c>
      <c r="J39" s="3"/>
      <c r="K39" s="3">
        <v>4504577</v>
      </c>
      <c r="L39" s="3"/>
      <c r="M39" s="32">
        <v>14945</v>
      </c>
      <c r="N39" s="3"/>
      <c r="O39" s="3">
        <v>0</v>
      </c>
      <c r="P39" s="3"/>
      <c r="Q39" s="3">
        <v>845678</v>
      </c>
      <c r="R39" s="3"/>
      <c r="S39" s="3">
        <v>481559</v>
      </c>
      <c r="T39" s="3"/>
      <c r="U39" s="3">
        <v>67255</v>
      </c>
      <c r="V39" s="3"/>
      <c r="W39" s="3">
        <v>695028</v>
      </c>
      <c r="X39" s="3"/>
      <c r="Y39" s="3">
        <v>499117</v>
      </c>
      <c r="Z39" s="3"/>
      <c r="AA39" s="3">
        <v>237421</v>
      </c>
      <c r="AB39" s="3"/>
      <c r="AC39" s="3">
        <v>1218636</v>
      </c>
      <c r="AD39" s="3" t="s">
        <v>256</v>
      </c>
      <c r="AF39" s="16" t="s">
        <v>190</v>
      </c>
      <c r="AH39" s="3">
        <v>6219</v>
      </c>
      <c r="AI39" s="3"/>
      <c r="AJ39" s="3">
        <v>328497</v>
      </c>
      <c r="AK39" s="3"/>
      <c r="AL39" s="3">
        <v>0</v>
      </c>
      <c r="AM39" s="3"/>
      <c r="AN39" s="3">
        <v>414</v>
      </c>
      <c r="AO39" s="3"/>
      <c r="AP39" s="3">
        <v>24850</v>
      </c>
      <c r="AQ39" s="3"/>
      <c r="AR39" s="3">
        <v>30092</v>
      </c>
      <c r="AS39" s="3"/>
      <c r="AT39" s="3">
        <v>4683993</v>
      </c>
      <c r="AU39" s="3"/>
      <c r="AV39" s="3">
        <v>0</v>
      </c>
      <c r="AW39" s="3"/>
      <c r="AX39" s="3">
        <v>0</v>
      </c>
      <c r="AY39" s="3"/>
      <c r="AZ39" s="3">
        <v>0</v>
      </c>
      <c r="BA39" s="3"/>
      <c r="BB39" s="3">
        <f t="shared" si="10"/>
        <v>14761382</v>
      </c>
      <c r="BC39" s="3"/>
      <c r="BD39" s="3">
        <v>0</v>
      </c>
      <c r="BE39" s="3"/>
      <c r="BF39" s="3">
        <v>0</v>
      </c>
      <c r="BG39" s="3"/>
      <c r="BH39" s="3">
        <v>0</v>
      </c>
      <c r="BI39" s="3"/>
      <c r="BJ39" s="3">
        <v>0</v>
      </c>
      <c r="BK39" s="3" t="s">
        <v>256</v>
      </c>
      <c r="BM39" s="16" t="s">
        <v>190</v>
      </c>
      <c r="BN39" s="3"/>
      <c r="BO39" s="3">
        <f t="shared" si="1"/>
        <v>14761382</v>
      </c>
      <c r="BP39" s="3"/>
      <c r="BQ39" s="3">
        <f>GenRev!AW39-BO39</f>
        <v>-2580232</v>
      </c>
      <c r="BR39" s="3"/>
      <c r="BS39" s="3">
        <v>21027470</v>
      </c>
      <c r="BT39" s="3"/>
      <c r="BU39" s="3">
        <v>0</v>
      </c>
      <c r="BV39" s="3"/>
      <c r="BW39" s="3">
        <f t="shared" si="2"/>
        <v>18447238</v>
      </c>
      <c r="BX39" s="3"/>
      <c r="BY39" s="17">
        <f>+BW39-GenBS!AE39</f>
        <v>0</v>
      </c>
      <c r="CB39" s="3"/>
      <c r="CC39" s="3" t="str">
        <f t="shared" si="3"/>
        <v>Maplewood Career Center</v>
      </c>
      <c r="CD39" s="3" t="b">
        <f t="shared" si="4"/>
        <v>1</v>
      </c>
      <c r="CE39" s="3" t="b">
        <f t="shared" si="5"/>
        <v>1</v>
      </c>
      <c r="CF39" s="3" t="str">
        <f>GenRev!A39</f>
        <v>Maplewood Career Center</v>
      </c>
      <c r="CG39" s="16" t="b">
        <f t="shared" si="6"/>
        <v>1</v>
      </c>
      <c r="CI39" s="3" t="str">
        <f t="shared" si="7"/>
        <v>Portage</v>
      </c>
      <c r="CJ39" s="16" t="b">
        <f t="shared" si="8"/>
        <v>1</v>
      </c>
      <c r="CK39" s="16" t="b">
        <f t="shared" si="9"/>
        <v>1</v>
      </c>
      <c r="CM39" s="16" t="b">
        <f>C39=GenRev!C39</f>
        <v>1</v>
      </c>
    </row>
    <row r="40" spans="1:91" s="16" customFormat="1">
      <c r="A40" s="3" t="s">
        <v>223</v>
      </c>
      <c r="C40" s="16" t="s">
        <v>181</v>
      </c>
      <c r="E40" s="16">
        <v>62109</v>
      </c>
      <c r="G40" s="3">
        <v>2568567</v>
      </c>
      <c r="H40" s="3"/>
      <c r="I40" s="3">
        <v>472231</v>
      </c>
      <c r="J40" s="3"/>
      <c r="K40" s="3">
        <v>4656039</v>
      </c>
      <c r="L40" s="3"/>
      <c r="M40" s="32">
        <v>26032</v>
      </c>
      <c r="N40" s="3"/>
      <c r="O40" s="3">
        <v>0</v>
      </c>
      <c r="P40" s="3"/>
      <c r="Q40" s="3">
        <v>1471953</v>
      </c>
      <c r="R40" s="3"/>
      <c r="S40" s="3">
        <v>558646</v>
      </c>
      <c r="T40" s="3"/>
      <c r="U40" s="3">
        <v>36021</v>
      </c>
      <c r="V40" s="3"/>
      <c r="W40" s="3">
        <v>1705236</v>
      </c>
      <c r="X40" s="3"/>
      <c r="Y40" s="3">
        <v>504297</v>
      </c>
      <c r="Z40" s="3"/>
      <c r="AA40" s="3">
        <v>209629</v>
      </c>
      <c r="AB40" s="3"/>
      <c r="AC40" s="3">
        <v>1525604</v>
      </c>
      <c r="AD40" s="3" t="s">
        <v>223</v>
      </c>
      <c r="AF40" s="16" t="s">
        <v>181</v>
      </c>
      <c r="AH40" s="3">
        <v>32325</v>
      </c>
      <c r="AI40" s="3"/>
      <c r="AJ40" s="3">
        <v>197024</v>
      </c>
      <c r="AK40" s="3"/>
      <c r="AL40" s="3">
        <v>0</v>
      </c>
      <c r="AM40" s="3"/>
      <c r="AN40" s="3">
        <v>0</v>
      </c>
      <c r="AO40" s="3"/>
      <c r="AP40" s="3">
        <v>72809</v>
      </c>
      <c r="AQ40" s="3"/>
      <c r="AR40" s="3">
        <v>6705</v>
      </c>
      <c r="AS40" s="3"/>
      <c r="AT40" s="3">
        <v>80406</v>
      </c>
      <c r="AU40" s="3"/>
      <c r="AV40" s="3">
        <v>0</v>
      </c>
      <c r="AW40" s="3"/>
      <c r="AX40" s="3">
        <v>0</v>
      </c>
      <c r="AY40" s="3"/>
      <c r="AZ40" s="3">
        <v>0</v>
      </c>
      <c r="BA40" s="3"/>
      <c r="BB40" s="3">
        <f t="shared" si="10"/>
        <v>14123524</v>
      </c>
      <c r="BC40" s="3"/>
      <c r="BD40" s="3">
        <v>10000</v>
      </c>
      <c r="BE40" s="3"/>
      <c r="BF40" s="3">
        <v>0</v>
      </c>
      <c r="BG40" s="3"/>
      <c r="BH40" s="3">
        <v>0</v>
      </c>
      <c r="BI40" s="3"/>
      <c r="BJ40" s="3">
        <v>0</v>
      </c>
      <c r="BK40" s="3" t="s">
        <v>223</v>
      </c>
      <c r="BM40" s="16" t="s">
        <v>181</v>
      </c>
      <c r="BN40" s="3"/>
      <c r="BO40" s="3">
        <f t="shared" si="1"/>
        <v>14133524</v>
      </c>
      <c r="BP40" s="3"/>
      <c r="BQ40" s="3">
        <f>GenRev!AW40-BO40</f>
        <v>1492858</v>
      </c>
      <c r="BR40" s="3"/>
      <c r="BS40" s="3">
        <v>6735966</v>
      </c>
      <c r="BT40" s="3"/>
      <c r="BU40" s="3">
        <v>0</v>
      </c>
      <c r="BV40" s="3"/>
      <c r="BW40" s="3">
        <f t="shared" si="2"/>
        <v>8228824</v>
      </c>
      <c r="BX40" s="3"/>
      <c r="BY40" s="17">
        <f>+BW40-GenBS!AE40</f>
        <v>0</v>
      </c>
      <c r="CB40" s="3"/>
      <c r="CC40" s="3" t="str">
        <f t="shared" si="3"/>
        <v>Medina County JVSD</v>
      </c>
      <c r="CD40" s="3" t="b">
        <f t="shared" si="4"/>
        <v>1</v>
      </c>
      <c r="CE40" s="3" t="b">
        <f t="shared" si="5"/>
        <v>1</v>
      </c>
      <c r="CF40" s="3" t="str">
        <f>GenRev!A40</f>
        <v>Medina County JVSD</v>
      </c>
      <c r="CG40" s="16" t="b">
        <f t="shared" si="6"/>
        <v>1</v>
      </c>
      <c r="CI40" s="3" t="str">
        <f t="shared" si="7"/>
        <v>Medina</v>
      </c>
      <c r="CJ40" s="16" t="b">
        <f t="shared" si="8"/>
        <v>1</v>
      </c>
      <c r="CK40" s="16" t="b">
        <f t="shared" si="9"/>
        <v>1</v>
      </c>
      <c r="CM40" s="16" t="b">
        <f>C40=GenRev!C40</f>
        <v>1</v>
      </c>
    </row>
    <row r="41" spans="1:91" s="16" customFormat="1">
      <c r="A41" s="3" t="s">
        <v>310</v>
      </c>
      <c r="C41" s="16" t="s">
        <v>184</v>
      </c>
      <c r="E41" s="16">
        <v>51284</v>
      </c>
      <c r="G41" s="3">
        <v>463106</v>
      </c>
      <c r="H41" s="3"/>
      <c r="I41" s="3">
        <v>392910</v>
      </c>
      <c r="J41" s="3"/>
      <c r="K41" s="3">
        <v>16384595</v>
      </c>
      <c r="L41" s="3"/>
      <c r="M41" s="32">
        <v>3499225</v>
      </c>
      <c r="N41" s="3"/>
      <c r="O41" s="3">
        <v>0</v>
      </c>
      <c r="P41" s="3"/>
      <c r="Q41" s="3">
        <v>1541335</v>
      </c>
      <c r="R41" s="3"/>
      <c r="S41" s="3">
        <v>1819766</v>
      </c>
      <c r="T41" s="3"/>
      <c r="U41" s="3">
        <v>55241</v>
      </c>
      <c r="V41" s="3"/>
      <c r="W41" s="3">
        <v>2010644</v>
      </c>
      <c r="X41" s="3"/>
      <c r="Y41" s="3">
        <v>827832</v>
      </c>
      <c r="Z41" s="3"/>
      <c r="AA41" s="3">
        <v>426126</v>
      </c>
      <c r="AB41" s="3"/>
      <c r="AC41" s="3">
        <v>3429466</v>
      </c>
      <c r="AD41" s="3" t="s">
        <v>310</v>
      </c>
      <c r="AF41" s="16" t="s">
        <v>184</v>
      </c>
      <c r="AH41" s="3">
        <v>98748</v>
      </c>
      <c r="AI41" s="3"/>
      <c r="AJ41" s="3">
        <v>2230184</v>
      </c>
      <c r="AK41" s="3"/>
      <c r="AL41" s="3">
        <v>0</v>
      </c>
      <c r="AM41" s="3"/>
      <c r="AN41" s="3">
        <v>0</v>
      </c>
      <c r="AO41" s="3"/>
      <c r="AP41" s="3">
        <v>365277</v>
      </c>
      <c r="AQ41" s="3"/>
      <c r="AR41" s="3">
        <v>28377</v>
      </c>
      <c r="AS41" s="3"/>
      <c r="AT41" s="3">
        <v>2200</v>
      </c>
      <c r="AU41" s="3"/>
      <c r="AV41" s="3">
        <v>0</v>
      </c>
      <c r="AW41" s="3"/>
      <c r="AX41" s="3">
        <v>0</v>
      </c>
      <c r="AY41" s="3"/>
      <c r="AZ41" s="3">
        <v>0</v>
      </c>
      <c r="BA41" s="3"/>
      <c r="BB41" s="3">
        <f t="shared" si="10"/>
        <v>33575032</v>
      </c>
      <c r="BC41" s="3"/>
      <c r="BD41" s="3">
        <v>346795</v>
      </c>
      <c r="BE41" s="3"/>
      <c r="BF41" s="3">
        <v>0</v>
      </c>
      <c r="BG41" s="3"/>
      <c r="BH41" s="3">
        <v>0</v>
      </c>
      <c r="BI41" s="3"/>
      <c r="BJ41" s="3">
        <v>0</v>
      </c>
      <c r="BK41" s="3" t="s">
        <v>310</v>
      </c>
      <c r="BM41" s="16" t="s">
        <v>184</v>
      </c>
      <c r="BN41" s="3"/>
      <c r="BO41" s="3">
        <f t="shared" si="1"/>
        <v>33921827</v>
      </c>
      <c r="BP41" s="3"/>
      <c r="BQ41" s="3">
        <f>GenRev!AW41-BO41</f>
        <v>-90731</v>
      </c>
      <c r="BR41" s="3"/>
      <c r="BS41" s="3">
        <v>2176867</v>
      </c>
      <c r="BT41" s="3"/>
      <c r="BU41" s="3">
        <v>0</v>
      </c>
      <c r="BV41" s="3"/>
      <c r="BW41" s="3">
        <f t="shared" si="2"/>
        <v>2086136</v>
      </c>
      <c r="BX41" s="3"/>
      <c r="BY41" s="17">
        <f>+BW41-GenBS!AE41</f>
        <v>0</v>
      </c>
      <c r="CB41" s="3" t="s">
        <v>396</v>
      </c>
      <c r="CC41" s="3" t="str">
        <f t="shared" si="3"/>
        <v>Miami Valley Career Tech Center</v>
      </c>
      <c r="CD41" s="3" t="b">
        <f t="shared" si="4"/>
        <v>1</v>
      </c>
      <c r="CE41" s="3" t="b">
        <f t="shared" si="5"/>
        <v>1</v>
      </c>
      <c r="CF41" s="3" t="str">
        <f>GenRev!A41</f>
        <v>Miami Valley Career Tech Center</v>
      </c>
      <c r="CG41" s="16" t="b">
        <f t="shared" si="6"/>
        <v>1</v>
      </c>
      <c r="CI41" s="3" t="str">
        <f t="shared" si="7"/>
        <v>Montgomery</v>
      </c>
      <c r="CJ41" s="16" t="b">
        <f t="shared" si="8"/>
        <v>1</v>
      </c>
      <c r="CK41" s="16" t="b">
        <f t="shared" si="9"/>
        <v>1</v>
      </c>
      <c r="CM41" s="16" t="b">
        <f>C41=GenRev!C41</f>
        <v>1</v>
      </c>
    </row>
    <row r="42" spans="1:91" s="16" customFormat="1">
      <c r="A42" s="3" t="s">
        <v>397</v>
      </c>
      <c r="C42" s="16" t="s">
        <v>186</v>
      </c>
      <c r="E42" s="16">
        <v>51300</v>
      </c>
      <c r="G42" s="3">
        <v>1813211</v>
      </c>
      <c r="H42" s="3"/>
      <c r="I42" s="3">
        <v>0</v>
      </c>
      <c r="J42" s="3"/>
      <c r="K42" s="3">
        <v>6137851</v>
      </c>
      <c r="L42" s="3"/>
      <c r="M42" s="32">
        <v>6115</v>
      </c>
      <c r="N42" s="3"/>
      <c r="O42" s="3">
        <v>0</v>
      </c>
      <c r="P42" s="3"/>
      <c r="Q42" s="3">
        <v>852575</v>
      </c>
      <c r="R42" s="3"/>
      <c r="S42" s="3">
        <v>131476</v>
      </c>
      <c r="T42" s="3"/>
      <c r="U42" s="3">
        <v>78686</v>
      </c>
      <c r="V42" s="3"/>
      <c r="W42" s="3">
        <v>1375360</v>
      </c>
      <c r="X42" s="3"/>
      <c r="Y42" s="3">
        <v>550577</v>
      </c>
      <c r="Z42" s="3"/>
      <c r="AA42" s="3">
        <v>174867</v>
      </c>
      <c r="AB42" s="3"/>
      <c r="AC42" s="3">
        <v>1182750</v>
      </c>
      <c r="AD42" s="3" t="s">
        <v>397</v>
      </c>
      <c r="AF42" s="16" t="s">
        <v>186</v>
      </c>
      <c r="AH42" s="3">
        <v>57756</v>
      </c>
      <c r="AI42" s="3"/>
      <c r="AJ42" s="3">
        <v>460664</v>
      </c>
      <c r="AK42" s="3"/>
      <c r="AL42" s="3">
        <v>0</v>
      </c>
      <c r="AM42" s="3"/>
      <c r="AN42" s="3">
        <v>0</v>
      </c>
      <c r="AO42" s="3"/>
      <c r="AP42" s="3">
        <v>0</v>
      </c>
      <c r="AQ42" s="3"/>
      <c r="AR42" s="3">
        <v>101652</v>
      </c>
      <c r="AS42" s="3"/>
      <c r="AT42" s="3">
        <v>0</v>
      </c>
      <c r="AU42" s="3"/>
      <c r="AV42" s="3">
        <v>0</v>
      </c>
      <c r="AW42" s="3"/>
      <c r="AX42" s="3">
        <v>23016</v>
      </c>
      <c r="AY42" s="3"/>
      <c r="AZ42" s="3">
        <v>5357</v>
      </c>
      <c r="BA42" s="3"/>
      <c r="BB42" s="3">
        <f t="shared" si="10"/>
        <v>12951913</v>
      </c>
      <c r="BC42" s="3"/>
      <c r="BD42" s="3">
        <v>1000000</v>
      </c>
      <c r="BE42" s="3"/>
      <c r="BF42" s="3">
        <v>0</v>
      </c>
      <c r="BG42" s="3"/>
      <c r="BH42" s="3">
        <v>0</v>
      </c>
      <c r="BI42" s="3"/>
      <c r="BJ42" s="3">
        <v>0</v>
      </c>
      <c r="BK42" s="3" t="s">
        <v>397</v>
      </c>
      <c r="BM42" s="16" t="s">
        <v>186</v>
      </c>
      <c r="BN42" s="3"/>
      <c r="BO42" s="3">
        <f t="shared" si="1"/>
        <v>13951913</v>
      </c>
      <c r="BP42" s="3"/>
      <c r="BQ42" s="3">
        <f>GenRev!AW42-BO42</f>
        <v>1296873</v>
      </c>
      <c r="BR42" s="3"/>
      <c r="BS42" s="3">
        <v>10666431</v>
      </c>
      <c r="BT42" s="3"/>
      <c r="BU42" s="3">
        <v>0</v>
      </c>
      <c r="BV42" s="3"/>
      <c r="BW42" s="3">
        <f t="shared" si="2"/>
        <v>11963304</v>
      </c>
      <c r="BX42" s="3"/>
      <c r="BY42" s="17">
        <f>+BW42-GenBS!AE42</f>
        <v>0</v>
      </c>
      <c r="CB42" s="3"/>
      <c r="CC42" s="3" t="str">
        <f t="shared" si="3"/>
        <v>Mid-East Career &amp; Tech Centers</v>
      </c>
      <c r="CD42" s="3" t="b">
        <f t="shared" si="4"/>
        <v>1</v>
      </c>
      <c r="CE42" s="3" t="b">
        <f t="shared" si="5"/>
        <v>1</v>
      </c>
      <c r="CF42" s="3" t="str">
        <f>GenRev!A42</f>
        <v>Mid-East Career &amp; Tech Centers</v>
      </c>
      <c r="CG42" s="16" t="b">
        <f t="shared" si="6"/>
        <v>1</v>
      </c>
      <c r="CI42" s="3" t="str">
        <f t="shared" si="7"/>
        <v>Muskingum</v>
      </c>
      <c r="CJ42" s="16" t="b">
        <f t="shared" si="8"/>
        <v>1</v>
      </c>
      <c r="CK42" s="16" t="b">
        <f t="shared" si="9"/>
        <v>1</v>
      </c>
      <c r="CM42" s="16" t="b">
        <f>C42=GenRev!C42</f>
        <v>1</v>
      </c>
    </row>
    <row r="43" spans="1:91" s="16" customFormat="1">
      <c r="A43" s="3" t="s">
        <v>218</v>
      </c>
      <c r="C43" s="16" t="s">
        <v>177</v>
      </c>
      <c r="E43" s="16">
        <v>51334</v>
      </c>
      <c r="G43" s="3">
        <v>1141898</v>
      </c>
      <c r="H43" s="3"/>
      <c r="I43" s="3">
        <v>591200</v>
      </c>
      <c r="J43" s="3"/>
      <c r="K43" s="3">
        <v>4496931</v>
      </c>
      <c r="L43" s="3"/>
      <c r="M43" s="32">
        <v>1339788</v>
      </c>
      <c r="N43" s="3"/>
      <c r="O43" s="3">
        <v>0</v>
      </c>
      <c r="P43" s="3"/>
      <c r="Q43" s="3">
        <v>584642</v>
      </c>
      <c r="R43" s="3"/>
      <c r="S43" s="3">
        <v>173103</v>
      </c>
      <c r="T43" s="3"/>
      <c r="U43" s="3">
        <v>54701</v>
      </c>
      <c r="V43" s="3"/>
      <c r="W43" s="3">
        <v>874644</v>
      </c>
      <c r="X43" s="3"/>
      <c r="Y43" s="3">
        <v>276817</v>
      </c>
      <c r="Z43" s="3"/>
      <c r="AA43" s="3">
        <v>1083180</v>
      </c>
      <c r="AB43" s="3"/>
      <c r="AC43" s="3">
        <v>1589047</v>
      </c>
      <c r="AD43" s="3" t="s">
        <v>218</v>
      </c>
      <c r="AF43" s="16" t="s">
        <v>177</v>
      </c>
      <c r="AH43" s="3">
        <v>82127</v>
      </c>
      <c r="AI43" s="3"/>
      <c r="AJ43" s="3">
        <v>812707</v>
      </c>
      <c r="AK43" s="3"/>
      <c r="AL43" s="3">
        <v>0</v>
      </c>
      <c r="AM43" s="3"/>
      <c r="AN43" s="3">
        <v>0</v>
      </c>
      <c r="AO43" s="3"/>
      <c r="AP43" s="3">
        <v>0</v>
      </c>
      <c r="AQ43" s="3"/>
      <c r="AR43" s="3">
        <v>0</v>
      </c>
      <c r="AS43" s="3"/>
      <c r="AT43" s="3">
        <v>0</v>
      </c>
      <c r="AU43" s="3"/>
      <c r="AV43" s="3">
        <v>0</v>
      </c>
      <c r="AW43" s="3"/>
      <c r="AX43" s="3">
        <v>258333</v>
      </c>
      <c r="AY43" s="3"/>
      <c r="AZ43" s="3">
        <v>48092</v>
      </c>
      <c r="BA43" s="3"/>
      <c r="BB43" s="3">
        <f t="shared" si="10"/>
        <v>13407210</v>
      </c>
      <c r="BC43" s="3"/>
      <c r="BD43" s="3">
        <v>0</v>
      </c>
      <c r="BE43" s="3"/>
      <c r="BF43" s="3">
        <v>0</v>
      </c>
      <c r="BG43" s="3"/>
      <c r="BH43" s="3">
        <v>0</v>
      </c>
      <c r="BI43" s="3"/>
      <c r="BJ43" s="3">
        <v>0</v>
      </c>
      <c r="BK43" s="3" t="s">
        <v>218</v>
      </c>
      <c r="BM43" s="16" t="s">
        <v>177</v>
      </c>
      <c r="BN43" s="3"/>
      <c r="BO43" s="3">
        <f t="shared" si="1"/>
        <v>13407210</v>
      </c>
      <c r="BP43" s="3"/>
      <c r="BQ43" s="3">
        <f>GenRev!AW43-BO43</f>
        <v>344009</v>
      </c>
      <c r="BR43" s="3"/>
      <c r="BS43" s="3">
        <v>8103861</v>
      </c>
      <c r="BT43" s="3"/>
      <c r="BU43" s="3">
        <v>0</v>
      </c>
      <c r="BV43" s="3"/>
      <c r="BW43" s="3">
        <f t="shared" si="2"/>
        <v>8447870</v>
      </c>
      <c r="BX43" s="3"/>
      <c r="BY43" s="17">
        <f>+BW43-GenBS!AE43</f>
        <v>0</v>
      </c>
      <c r="CB43" s="32" t="s">
        <v>401</v>
      </c>
      <c r="CC43" s="3" t="str">
        <f t="shared" si="3"/>
        <v>Ohio Hi-Point JVSD</v>
      </c>
      <c r="CD43" s="3" t="b">
        <f t="shared" si="4"/>
        <v>1</v>
      </c>
      <c r="CE43" s="3" t="b">
        <f t="shared" si="5"/>
        <v>1</v>
      </c>
      <c r="CF43" s="3" t="str">
        <f>GenRev!A43</f>
        <v>Ohio Hi-Point JVSD</v>
      </c>
      <c r="CG43" s="16" t="b">
        <f t="shared" si="6"/>
        <v>1</v>
      </c>
      <c r="CI43" s="3" t="str">
        <f t="shared" si="7"/>
        <v>Logan</v>
      </c>
      <c r="CJ43" s="16" t="b">
        <f t="shared" si="8"/>
        <v>1</v>
      </c>
      <c r="CK43" s="16" t="b">
        <f t="shared" si="9"/>
        <v>1</v>
      </c>
      <c r="CM43" s="16" t="b">
        <f>C43=GenRev!C43</f>
        <v>1</v>
      </c>
    </row>
    <row r="44" spans="1:91" s="16" customFormat="1">
      <c r="A44" s="3" t="s">
        <v>402</v>
      </c>
      <c r="C44" s="16" t="s">
        <v>209</v>
      </c>
      <c r="E44" s="16">
        <v>51359</v>
      </c>
      <c r="G44" s="3">
        <v>0</v>
      </c>
      <c r="H44" s="3"/>
      <c r="I44" s="3">
        <v>836675</v>
      </c>
      <c r="J44" s="3"/>
      <c r="K44" s="3">
        <v>15249650</v>
      </c>
      <c r="L44" s="3"/>
      <c r="M44" s="32">
        <v>48188</v>
      </c>
      <c r="N44" s="3"/>
      <c r="O44" s="3">
        <v>559753</v>
      </c>
      <c r="P44" s="3"/>
      <c r="Q44" s="3">
        <v>2381759</v>
      </c>
      <c r="R44" s="3"/>
      <c r="S44" s="3">
        <v>2038043</v>
      </c>
      <c r="T44" s="3"/>
      <c r="U44" s="3">
        <v>45138</v>
      </c>
      <c r="V44" s="3"/>
      <c r="W44" s="3">
        <v>844276</v>
      </c>
      <c r="X44" s="3"/>
      <c r="Y44" s="3">
        <v>584756</v>
      </c>
      <c r="Z44" s="3"/>
      <c r="AA44" s="3">
        <v>0</v>
      </c>
      <c r="AB44" s="3"/>
      <c r="AC44" s="3">
        <v>2534293</v>
      </c>
      <c r="AD44" s="3" t="s">
        <v>402</v>
      </c>
      <c r="AF44" s="16" t="s">
        <v>209</v>
      </c>
      <c r="AH44" s="3">
        <v>0</v>
      </c>
      <c r="AI44" s="3"/>
      <c r="AJ44" s="3">
        <v>301926</v>
      </c>
      <c r="AK44" s="3"/>
      <c r="AL44" s="3">
        <v>0</v>
      </c>
      <c r="AM44" s="3"/>
      <c r="AN44" s="3">
        <v>0</v>
      </c>
      <c r="AO44" s="3"/>
      <c r="AP44" s="3">
        <v>202530</v>
      </c>
      <c r="AQ44" s="3"/>
      <c r="AR44" s="3">
        <v>221372</v>
      </c>
      <c r="AS44" s="3"/>
      <c r="AT44" s="3">
        <v>0</v>
      </c>
      <c r="AU44" s="3"/>
      <c r="AV44" s="3">
        <v>0</v>
      </c>
      <c r="AW44" s="3"/>
      <c r="AX44" s="3">
        <v>32452</v>
      </c>
      <c r="AY44" s="3"/>
      <c r="AZ44" s="3">
        <v>3674</v>
      </c>
      <c r="BA44" s="3"/>
      <c r="BB44" s="3">
        <f t="shared" si="10"/>
        <v>25884485</v>
      </c>
      <c r="BC44" s="3"/>
      <c r="BD44" s="3">
        <v>0</v>
      </c>
      <c r="BE44" s="3"/>
      <c r="BF44" s="3">
        <v>0</v>
      </c>
      <c r="BG44" s="3"/>
      <c r="BH44" s="3">
        <v>0</v>
      </c>
      <c r="BI44" s="3"/>
      <c r="BJ44" s="3">
        <v>0</v>
      </c>
      <c r="BK44" s="3" t="s">
        <v>402</v>
      </c>
      <c r="BM44" s="16" t="s">
        <v>209</v>
      </c>
      <c r="BN44" s="3"/>
      <c r="BO44" s="3">
        <f t="shared" si="1"/>
        <v>25884485</v>
      </c>
      <c r="BP44" s="3"/>
      <c r="BQ44" s="3">
        <f>GenRev!AW44-BO44</f>
        <v>2749586</v>
      </c>
      <c r="BR44" s="3"/>
      <c r="BS44" s="3">
        <v>4138501</v>
      </c>
      <c r="BT44" s="3"/>
      <c r="BU44" s="3">
        <v>0</v>
      </c>
      <c r="BV44" s="3"/>
      <c r="BW44" s="3">
        <f t="shared" si="2"/>
        <v>6888087</v>
      </c>
      <c r="BX44" s="3"/>
      <c r="BY44" s="17">
        <f>+BW44-GenBS!AE44</f>
        <v>0</v>
      </c>
      <c r="CB44" s="32" t="s">
        <v>403</v>
      </c>
      <c r="CC44" s="3" t="str">
        <f t="shared" si="3"/>
        <v>Penta Career Center</v>
      </c>
      <c r="CD44" s="3" t="b">
        <f t="shared" si="4"/>
        <v>1</v>
      </c>
      <c r="CE44" s="3" t="b">
        <f t="shared" si="5"/>
        <v>1</v>
      </c>
      <c r="CF44" s="3" t="str">
        <f>GenRev!A44</f>
        <v>Penta Career Center</v>
      </c>
      <c r="CG44" s="16" t="b">
        <f t="shared" si="6"/>
        <v>1</v>
      </c>
      <c r="CI44" s="3" t="str">
        <f t="shared" si="7"/>
        <v>Wood</v>
      </c>
      <c r="CJ44" s="16" t="b">
        <f t="shared" si="8"/>
        <v>1</v>
      </c>
      <c r="CK44" s="16" t="b">
        <f t="shared" si="9"/>
        <v>1</v>
      </c>
      <c r="CM44" s="16" t="b">
        <f>C44=GenRev!C44</f>
        <v>1</v>
      </c>
    </row>
    <row r="45" spans="1:91" s="16" customFormat="1">
      <c r="A45" s="3" t="s">
        <v>407</v>
      </c>
      <c r="C45" s="16" t="s">
        <v>194</v>
      </c>
      <c r="E45" s="16">
        <v>51433</v>
      </c>
      <c r="G45" s="3">
        <v>1178064</v>
      </c>
      <c r="H45" s="3"/>
      <c r="I45" s="3">
        <v>0</v>
      </c>
      <c r="J45" s="3"/>
      <c r="K45" s="3">
        <v>9535966</v>
      </c>
      <c r="L45" s="3"/>
      <c r="M45" s="32">
        <v>0</v>
      </c>
      <c r="N45" s="3"/>
      <c r="O45" s="3">
        <v>0</v>
      </c>
      <c r="P45" s="3"/>
      <c r="Q45" s="3">
        <v>697420</v>
      </c>
      <c r="R45" s="3"/>
      <c r="S45" s="3">
        <v>970724</v>
      </c>
      <c r="T45" s="3"/>
      <c r="U45" s="3">
        <v>20748</v>
      </c>
      <c r="V45" s="3"/>
      <c r="W45" s="3">
        <v>341790</v>
      </c>
      <c r="X45" s="3"/>
      <c r="Y45" s="3">
        <v>565330</v>
      </c>
      <c r="Z45" s="3"/>
      <c r="AA45" s="3">
        <v>7361</v>
      </c>
      <c r="AB45" s="3"/>
      <c r="AC45" s="3">
        <v>1130220</v>
      </c>
      <c r="AD45" s="3" t="s">
        <v>407</v>
      </c>
      <c r="AF45" s="16" t="s">
        <v>194</v>
      </c>
      <c r="AH45" s="3">
        <v>2014</v>
      </c>
      <c r="AI45" s="3"/>
      <c r="AJ45" s="3">
        <v>72891</v>
      </c>
      <c r="AK45" s="3"/>
      <c r="AL45" s="3">
        <v>0</v>
      </c>
      <c r="AM45" s="3"/>
      <c r="AN45" s="3">
        <v>0</v>
      </c>
      <c r="AO45" s="3"/>
      <c r="AP45" s="3">
        <v>0</v>
      </c>
      <c r="AQ45" s="3"/>
      <c r="AR45" s="3">
        <v>18156</v>
      </c>
      <c r="AS45" s="3"/>
      <c r="AT45" s="3">
        <v>0</v>
      </c>
      <c r="AU45" s="3"/>
      <c r="AV45" s="3">
        <v>0</v>
      </c>
      <c r="AW45" s="3"/>
      <c r="AX45" s="3">
        <v>272886</v>
      </c>
      <c r="AY45" s="3"/>
      <c r="AZ45" s="3">
        <v>0</v>
      </c>
      <c r="BA45" s="3"/>
      <c r="BB45" s="3">
        <f t="shared" si="10"/>
        <v>14813570</v>
      </c>
      <c r="BC45" s="3"/>
      <c r="BD45" s="3">
        <v>373015</v>
      </c>
      <c r="BE45" s="3"/>
      <c r="BF45" s="3">
        <v>0</v>
      </c>
      <c r="BG45" s="3"/>
      <c r="BH45" s="3">
        <v>0</v>
      </c>
      <c r="BI45" s="3"/>
      <c r="BJ45" s="3">
        <v>0</v>
      </c>
      <c r="BK45" s="3" t="s">
        <v>407</v>
      </c>
      <c r="BM45" s="16" t="s">
        <v>194</v>
      </c>
      <c r="BN45" s="3"/>
      <c r="BO45" s="3">
        <f t="shared" si="1"/>
        <v>15186585</v>
      </c>
      <c r="BP45" s="3"/>
      <c r="BQ45" s="3">
        <f>GenRev!AW45-BO45</f>
        <v>1015844</v>
      </c>
      <c r="BR45" s="3"/>
      <c r="BS45" s="3">
        <v>6514856</v>
      </c>
      <c r="BT45" s="3"/>
      <c r="BU45" s="3">
        <v>0</v>
      </c>
      <c r="BV45" s="3"/>
      <c r="BW45" s="3">
        <f t="shared" si="2"/>
        <v>7530700</v>
      </c>
      <c r="BX45" s="3"/>
      <c r="BY45" s="17">
        <f>+BW45-GenBS!AE45</f>
        <v>0</v>
      </c>
      <c r="CB45" s="3"/>
      <c r="CC45" s="3" t="str">
        <f t="shared" si="3"/>
        <v>Pickaway-Ross Career &amp; Tech Center</v>
      </c>
      <c r="CD45" s="3" t="b">
        <f t="shared" si="4"/>
        <v>1</v>
      </c>
      <c r="CE45" s="3" t="b">
        <f t="shared" si="5"/>
        <v>1</v>
      </c>
      <c r="CF45" s="3" t="str">
        <f>GenRev!A45</f>
        <v>Pickaway-Ross Career &amp; Tech Center</v>
      </c>
      <c r="CG45" s="16" t="b">
        <f t="shared" si="6"/>
        <v>1</v>
      </c>
      <c r="CI45" s="3" t="str">
        <f t="shared" si="7"/>
        <v>Ross</v>
      </c>
      <c r="CJ45" s="16" t="b">
        <f t="shared" si="8"/>
        <v>1</v>
      </c>
      <c r="CK45" s="16" t="b">
        <f t="shared" si="9"/>
        <v>1</v>
      </c>
      <c r="CM45" s="16" t="b">
        <f>C45=GenRev!C45</f>
        <v>1</v>
      </c>
    </row>
    <row r="46" spans="1:91" s="16" customFormat="1">
      <c r="A46" s="3" t="s">
        <v>257</v>
      </c>
      <c r="C46" s="16" t="s">
        <v>225</v>
      </c>
      <c r="E46" s="16">
        <v>51375</v>
      </c>
      <c r="G46" s="3">
        <v>0</v>
      </c>
      <c r="H46" s="3"/>
      <c r="I46" s="3">
        <v>90059</v>
      </c>
      <c r="J46" s="3"/>
      <c r="K46" s="3">
        <v>4285141</v>
      </c>
      <c r="L46" s="3"/>
      <c r="M46" s="32">
        <v>0</v>
      </c>
      <c r="N46" s="3"/>
      <c r="O46" s="3">
        <v>0</v>
      </c>
      <c r="P46" s="3"/>
      <c r="Q46" s="3">
        <v>401188</v>
      </c>
      <c r="R46" s="3"/>
      <c r="S46" s="3">
        <v>94569</v>
      </c>
      <c r="T46" s="3"/>
      <c r="U46" s="3">
        <v>107428</v>
      </c>
      <c r="V46" s="3"/>
      <c r="W46" s="3">
        <v>507235</v>
      </c>
      <c r="X46" s="3"/>
      <c r="Y46" s="3">
        <v>338667</v>
      </c>
      <c r="Z46" s="3"/>
      <c r="AA46" s="3">
        <v>0</v>
      </c>
      <c r="AB46" s="3"/>
      <c r="AC46" s="3">
        <v>656040</v>
      </c>
      <c r="AD46" s="3" t="s">
        <v>257</v>
      </c>
      <c r="AF46" s="16" t="s">
        <v>225</v>
      </c>
      <c r="AH46" s="3">
        <v>13277</v>
      </c>
      <c r="AI46" s="3"/>
      <c r="AJ46" s="3">
        <v>79280</v>
      </c>
      <c r="AK46" s="3"/>
      <c r="AL46" s="3">
        <v>0</v>
      </c>
      <c r="AM46" s="3"/>
      <c r="AN46" s="3">
        <v>0</v>
      </c>
      <c r="AO46" s="3"/>
      <c r="AP46" s="3">
        <v>59114</v>
      </c>
      <c r="AQ46" s="3"/>
      <c r="AR46" s="3">
        <v>2631</v>
      </c>
      <c r="AS46" s="3"/>
      <c r="AT46" s="3">
        <v>0</v>
      </c>
      <c r="AU46" s="3"/>
      <c r="AV46" s="3">
        <v>0</v>
      </c>
      <c r="AW46" s="3"/>
      <c r="AX46" s="3">
        <v>50753</v>
      </c>
      <c r="AY46" s="3"/>
      <c r="AZ46" s="3">
        <v>6379</v>
      </c>
      <c r="BA46" s="3"/>
      <c r="BB46" s="3">
        <f t="shared" si="10"/>
        <v>6691761</v>
      </c>
      <c r="BC46" s="3"/>
      <c r="BD46" s="3">
        <v>552337</v>
      </c>
      <c r="BE46" s="3"/>
      <c r="BF46" s="3">
        <v>0</v>
      </c>
      <c r="BG46" s="3"/>
      <c r="BH46" s="3">
        <v>0</v>
      </c>
      <c r="BI46" s="3"/>
      <c r="BJ46" s="3">
        <v>0</v>
      </c>
      <c r="BK46" s="3" t="s">
        <v>257</v>
      </c>
      <c r="BM46" s="16" t="s">
        <v>225</v>
      </c>
      <c r="BN46" s="3"/>
      <c r="BO46" s="3">
        <f t="shared" ref="BO46:BO64" si="11">+BJ46+BF46+BD46+BB46</f>
        <v>7244098</v>
      </c>
      <c r="BP46" s="3"/>
      <c r="BQ46" s="3">
        <f>GenRev!AW46-BO46</f>
        <v>-1192569</v>
      </c>
      <c r="BR46" s="3"/>
      <c r="BS46" s="3">
        <v>4371975</v>
      </c>
      <c r="BT46" s="3"/>
      <c r="BU46" s="3">
        <v>0</v>
      </c>
      <c r="BV46" s="3"/>
      <c r="BW46" s="3">
        <f t="shared" si="2"/>
        <v>3179406</v>
      </c>
      <c r="BX46" s="3"/>
      <c r="BY46" s="17">
        <f>+BW46-GenBS!AE46</f>
        <v>0</v>
      </c>
      <c r="CB46" s="3"/>
      <c r="CC46" s="3" t="str">
        <f t="shared" ref="CC46:CC64" si="12">A46</f>
        <v>Pike County JVSD</v>
      </c>
      <c r="CD46" s="3" t="b">
        <f t="shared" ref="CD46:CD64" si="13">A46=AD46</f>
        <v>1</v>
      </c>
      <c r="CE46" s="3" t="b">
        <f t="shared" ref="CE46:CE64" si="14">A46=BK46</f>
        <v>1</v>
      </c>
      <c r="CF46" s="3" t="str">
        <f>GenRev!A46</f>
        <v>Pike County JVSD</v>
      </c>
      <c r="CG46" s="16" t="b">
        <f t="shared" ref="CG46:CG64" si="15">CC46=CF46</f>
        <v>1</v>
      </c>
      <c r="CI46" s="3" t="str">
        <f t="shared" ref="CI46:CI64" si="16">C46</f>
        <v>Pike</v>
      </c>
      <c r="CJ46" s="16" t="b">
        <f t="shared" ref="CJ46:CJ64" si="17">C46=AF46</f>
        <v>1</v>
      </c>
      <c r="CK46" s="16" t="b">
        <f t="shared" ref="CK46:CK64" si="18">C46=BM46</f>
        <v>1</v>
      </c>
      <c r="CM46" s="16" t="b">
        <f>C46=GenRev!C46</f>
        <v>1</v>
      </c>
    </row>
    <row r="47" spans="1:91" s="16" customFormat="1">
      <c r="A47" s="3" t="s">
        <v>311</v>
      </c>
      <c r="C47" s="16" t="s">
        <v>193</v>
      </c>
      <c r="E47" s="16">
        <v>51417</v>
      </c>
      <c r="G47" s="3">
        <v>874865</v>
      </c>
      <c r="H47" s="3"/>
      <c r="I47" s="3">
        <v>529067</v>
      </c>
      <c r="J47" s="3"/>
      <c r="K47" s="3">
        <v>9020402</v>
      </c>
      <c r="L47" s="3"/>
      <c r="M47" s="32">
        <v>0</v>
      </c>
      <c r="N47" s="3"/>
      <c r="O47" s="3">
        <v>0</v>
      </c>
      <c r="P47" s="3"/>
      <c r="Q47" s="3">
        <v>862920</v>
      </c>
      <c r="R47" s="3"/>
      <c r="S47" s="3">
        <v>854377</v>
      </c>
      <c r="T47" s="3"/>
      <c r="U47" s="3">
        <v>84822</v>
      </c>
      <c r="V47" s="3"/>
      <c r="W47" s="3">
        <v>1202974</v>
      </c>
      <c r="X47" s="3"/>
      <c r="Y47" s="3">
        <v>432855</v>
      </c>
      <c r="Z47" s="3"/>
      <c r="AA47" s="3">
        <v>186194</v>
      </c>
      <c r="AB47" s="3"/>
      <c r="AC47" s="3">
        <v>881166</v>
      </c>
      <c r="AD47" s="3" t="s">
        <v>311</v>
      </c>
      <c r="AF47" s="16" t="s">
        <v>193</v>
      </c>
      <c r="AH47" s="3">
        <v>1966</v>
      </c>
      <c r="AI47" s="3"/>
      <c r="AJ47" s="3">
        <v>137589</v>
      </c>
      <c r="AK47" s="3"/>
      <c r="AL47" s="3">
        <v>0</v>
      </c>
      <c r="AM47" s="3"/>
      <c r="AN47" s="3">
        <v>0</v>
      </c>
      <c r="AO47" s="3"/>
      <c r="AP47" s="3">
        <v>131</v>
      </c>
      <c r="AQ47" s="3"/>
      <c r="AR47" s="3">
        <v>81239</v>
      </c>
      <c r="AS47" s="3"/>
      <c r="AT47" s="3">
        <v>75449</v>
      </c>
      <c r="AU47" s="3"/>
      <c r="AV47" s="3">
        <v>0</v>
      </c>
      <c r="AW47" s="3"/>
      <c r="AX47" s="3">
        <v>304446</v>
      </c>
      <c r="AY47" s="3"/>
      <c r="AZ47" s="3">
        <v>576046</v>
      </c>
      <c r="BA47" s="3"/>
      <c r="BB47" s="3">
        <f t="shared" si="10"/>
        <v>16106508</v>
      </c>
      <c r="BC47" s="3"/>
      <c r="BD47" s="3">
        <v>687211</v>
      </c>
      <c r="BE47" s="3"/>
      <c r="BF47" s="3">
        <v>0</v>
      </c>
      <c r="BG47" s="3"/>
      <c r="BH47" s="3">
        <v>0</v>
      </c>
      <c r="BI47" s="3"/>
      <c r="BJ47" s="3">
        <v>0</v>
      </c>
      <c r="BK47" s="3" t="s">
        <v>311</v>
      </c>
      <c r="BM47" s="16" t="s">
        <v>193</v>
      </c>
      <c r="BN47" s="3"/>
      <c r="BO47" s="3">
        <f t="shared" si="11"/>
        <v>16793719</v>
      </c>
      <c r="BP47" s="3"/>
      <c r="BQ47" s="3">
        <f>GenRev!AW47-BO47</f>
        <v>-870603</v>
      </c>
      <c r="BR47" s="3"/>
      <c r="BS47" s="3">
        <v>10741091</v>
      </c>
      <c r="BT47" s="3"/>
      <c r="BU47" s="3">
        <v>-13738</v>
      </c>
      <c r="BV47" s="3"/>
      <c r="BW47" s="3">
        <f t="shared" si="2"/>
        <v>9856750</v>
      </c>
      <c r="BX47" s="3"/>
      <c r="BY47" s="17">
        <f>+BW47-GenBS!AE47</f>
        <v>0</v>
      </c>
      <c r="CB47" s="32"/>
      <c r="CC47" s="3" t="str">
        <f t="shared" si="12"/>
        <v>Pioneer Career &amp; Tech Center</v>
      </c>
      <c r="CD47" s="3" t="b">
        <f t="shared" si="13"/>
        <v>1</v>
      </c>
      <c r="CE47" s="3" t="b">
        <f t="shared" si="14"/>
        <v>1</v>
      </c>
      <c r="CF47" s="3" t="str">
        <f>GenRev!A47</f>
        <v>Pioneer Career &amp; Tech Center</v>
      </c>
      <c r="CG47" s="16" t="b">
        <f t="shared" si="15"/>
        <v>1</v>
      </c>
      <c r="CI47" s="3" t="str">
        <f t="shared" si="16"/>
        <v>Richland</v>
      </c>
      <c r="CJ47" s="16" t="b">
        <f t="shared" si="17"/>
        <v>1</v>
      </c>
      <c r="CK47" s="16" t="b">
        <f t="shared" si="18"/>
        <v>1</v>
      </c>
      <c r="CM47" s="16" t="b">
        <f>C47=GenRev!C47</f>
        <v>1</v>
      </c>
    </row>
    <row r="48" spans="1:91" s="16" customFormat="1">
      <c r="A48" s="3" t="s">
        <v>258</v>
      </c>
      <c r="C48" s="16" t="s">
        <v>160</v>
      </c>
      <c r="E48" s="16">
        <v>50948</v>
      </c>
      <c r="G48" s="3">
        <v>0</v>
      </c>
      <c r="H48" s="3"/>
      <c r="I48" s="3">
        <v>0</v>
      </c>
      <c r="J48" s="3"/>
      <c r="K48" s="3">
        <v>5984723</v>
      </c>
      <c r="L48" s="3"/>
      <c r="M48" s="32">
        <v>0</v>
      </c>
      <c r="N48" s="3"/>
      <c r="O48" s="3">
        <v>0</v>
      </c>
      <c r="P48" s="3"/>
      <c r="Q48" s="3">
        <v>1786567</v>
      </c>
      <c r="R48" s="3"/>
      <c r="S48" s="3">
        <v>1273359</v>
      </c>
      <c r="T48" s="3"/>
      <c r="U48" s="3">
        <v>126622</v>
      </c>
      <c r="V48" s="3"/>
      <c r="W48" s="3">
        <v>796504</v>
      </c>
      <c r="X48" s="3"/>
      <c r="Y48" s="3">
        <v>718193</v>
      </c>
      <c r="Z48" s="3"/>
      <c r="AA48" s="3">
        <v>74155</v>
      </c>
      <c r="AB48" s="3"/>
      <c r="AC48" s="3">
        <v>1486447</v>
      </c>
      <c r="AD48" s="3" t="s">
        <v>258</v>
      </c>
      <c r="AF48" s="16" t="s">
        <v>160</v>
      </c>
      <c r="AH48" s="3">
        <v>18520</v>
      </c>
      <c r="AI48" s="3"/>
      <c r="AJ48" s="3">
        <v>1319668</v>
      </c>
      <c r="AK48" s="3"/>
      <c r="AL48" s="3">
        <v>0</v>
      </c>
      <c r="AM48" s="3"/>
      <c r="AN48" s="3">
        <v>0</v>
      </c>
      <c r="AO48" s="3"/>
      <c r="AP48" s="3">
        <v>0</v>
      </c>
      <c r="AQ48" s="3"/>
      <c r="AR48" s="3">
        <v>48084</v>
      </c>
      <c r="AS48" s="3"/>
      <c r="AT48" s="3">
        <v>1938651</v>
      </c>
      <c r="AU48" s="3"/>
      <c r="AV48" s="3">
        <v>0</v>
      </c>
      <c r="AW48" s="3"/>
      <c r="AX48" s="3">
        <v>0</v>
      </c>
      <c r="AY48" s="3"/>
      <c r="AZ48" s="3">
        <v>0</v>
      </c>
      <c r="BA48" s="3"/>
      <c r="BB48" s="3">
        <f t="shared" si="10"/>
        <v>15571493</v>
      </c>
      <c r="BC48" s="3"/>
      <c r="BD48" s="3">
        <v>21054</v>
      </c>
      <c r="BE48" s="3"/>
      <c r="BF48" s="3">
        <v>0</v>
      </c>
      <c r="BG48" s="3"/>
      <c r="BH48" s="3">
        <v>0</v>
      </c>
      <c r="BI48" s="3"/>
      <c r="BJ48" s="3">
        <v>0</v>
      </c>
      <c r="BK48" s="3" t="s">
        <v>258</v>
      </c>
      <c r="BM48" s="16" t="s">
        <v>160</v>
      </c>
      <c r="BN48" s="3"/>
      <c r="BO48" s="3">
        <f t="shared" si="11"/>
        <v>15592547</v>
      </c>
      <c r="BP48" s="3"/>
      <c r="BQ48" s="3">
        <f>GenRev!AW48-BO48</f>
        <v>-1491739</v>
      </c>
      <c r="BR48" s="3"/>
      <c r="BS48" s="3">
        <v>7688299</v>
      </c>
      <c r="BT48" s="3"/>
      <c r="BU48" s="3">
        <v>0</v>
      </c>
      <c r="BV48" s="3"/>
      <c r="BW48" s="3">
        <f t="shared" si="2"/>
        <v>6196560</v>
      </c>
      <c r="BX48" s="3"/>
      <c r="BY48" s="17">
        <f>+BW48-GenBS!AE48</f>
        <v>0</v>
      </c>
      <c r="CB48" s="3"/>
      <c r="CC48" s="3" t="str">
        <f t="shared" si="12"/>
        <v>Polaris Career Center</v>
      </c>
      <c r="CD48" s="3" t="b">
        <f t="shared" si="13"/>
        <v>1</v>
      </c>
      <c r="CE48" s="3" t="b">
        <f t="shared" si="14"/>
        <v>1</v>
      </c>
      <c r="CF48" s="3" t="str">
        <f>GenRev!A48</f>
        <v>Polaris Career Center</v>
      </c>
      <c r="CG48" s="16" t="b">
        <f t="shared" si="15"/>
        <v>1</v>
      </c>
      <c r="CI48" s="3" t="str">
        <f t="shared" si="16"/>
        <v>Cuyahoga</v>
      </c>
      <c r="CJ48" s="16" t="b">
        <f t="shared" si="17"/>
        <v>1</v>
      </c>
      <c r="CK48" s="16" t="b">
        <f t="shared" si="18"/>
        <v>1</v>
      </c>
      <c r="CM48" s="16" t="b">
        <f>C48=GenRev!C48</f>
        <v>1</v>
      </c>
    </row>
    <row r="49" spans="1:91" s="16" customFormat="1">
      <c r="A49" s="3" t="s">
        <v>259</v>
      </c>
      <c r="C49" s="16" t="s">
        <v>200</v>
      </c>
      <c r="E49" s="16">
        <v>63495</v>
      </c>
      <c r="G49" s="3">
        <v>402458</v>
      </c>
      <c r="H49" s="3"/>
      <c r="I49" s="3">
        <v>304446</v>
      </c>
      <c r="J49" s="3"/>
      <c r="K49" s="3">
        <v>3389364</v>
      </c>
      <c r="L49" s="3"/>
      <c r="M49" s="32">
        <v>5093</v>
      </c>
      <c r="N49" s="3"/>
      <c r="O49" s="3">
        <v>2508</v>
      </c>
      <c r="P49" s="3"/>
      <c r="Q49" s="3">
        <v>194605</v>
      </c>
      <c r="R49" s="3"/>
      <c r="S49" s="3">
        <v>79439</v>
      </c>
      <c r="T49" s="3"/>
      <c r="U49" s="3">
        <v>22709</v>
      </c>
      <c r="V49" s="3"/>
      <c r="W49" s="3">
        <v>706918</v>
      </c>
      <c r="X49" s="3"/>
      <c r="Y49" s="3">
        <v>415924</v>
      </c>
      <c r="Z49" s="3"/>
      <c r="AA49" s="3">
        <v>0</v>
      </c>
      <c r="AB49" s="3"/>
      <c r="AC49" s="3">
        <v>410886</v>
      </c>
      <c r="AD49" s="3" t="s">
        <v>259</v>
      </c>
      <c r="AF49" s="16" t="s">
        <v>200</v>
      </c>
      <c r="AH49" s="3">
        <v>42646</v>
      </c>
      <c r="AI49" s="3"/>
      <c r="AJ49" s="3">
        <v>97838</v>
      </c>
      <c r="AK49" s="3"/>
      <c r="AL49" s="3">
        <v>0</v>
      </c>
      <c r="AM49" s="3"/>
      <c r="AN49" s="3">
        <v>0</v>
      </c>
      <c r="AO49" s="3"/>
      <c r="AP49" s="3">
        <v>0</v>
      </c>
      <c r="AQ49" s="3"/>
      <c r="AR49" s="3">
        <v>13533</v>
      </c>
      <c r="AS49" s="3"/>
      <c r="AT49" s="3">
        <v>181819</v>
      </c>
      <c r="AU49" s="3"/>
      <c r="AV49" s="3">
        <v>0</v>
      </c>
      <c r="AW49" s="3"/>
      <c r="AX49" s="3">
        <v>0</v>
      </c>
      <c r="AY49" s="3"/>
      <c r="AZ49" s="3">
        <v>0</v>
      </c>
      <c r="BA49" s="3"/>
      <c r="BB49" s="3">
        <f t="shared" si="10"/>
        <v>6270186</v>
      </c>
      <c r="BC49" s="3"/>
      <c r="BD49" s="3">
        <v>33333</v>
      </c>
      <c r="BE49" s="3"/>
      <c r="BF49" s="3">
        <v>0</v>
      </c>
      <c r="BG49" s="3"/>
      <c r="BH49" s="3">
        <v>0</v>
      </c>
      <c r="BI49" s="3"/>
      <c r="BJ49" s="3">
        <v>0</v>
      </c>
      <c r="BK49" s="3" t="s">
        <v>259</v>
      </c>
      <c r="BM49" s="16" t="s">
        <v>200</v>
      </c>
      <c r="BN49" s="3"/>
      <c r="BO49" s="3">
        <f t="shared" si="11"/>
        <v>6303519</v>
      </c>
      <c r="BP49" s="3"/>
      <c r="BQ49" s="3">
        <f>GenRev!AW49-BO49</f>
        <v>501559</v>
      </c>
      <c r="BR49" s="3"/>
      <c r="BS49" s="3">
        <v>10782094</v>
      </c>
      <c r="BT49" s="3"/>
      <c r="BU49" s="3">
        <v>0</v>
      </c>
      <c r="BV49" s="3"/>
      <c r="BW49" s="3">
        <f t="shared" si="2"/>
        <v>11283653</v>
      </c>
      <c r="BX49" s="3"/>
      <c r="BY49" s="17">
        <f>+BW49-GenBS!AE49</f>
        <v>0</v>
      </c>
      <c r="CB49" s="3"/>
      <c r="CC49" s="3" t="str">
        <f t="shared" si="12"/>
        <v>Portage Lakes Career Center</v>
      </c>
      <c r="CD49" s="3" t="b">
        <f t="shared" si="13"/>
        <v>1</v>
      </c>
      <c r="CE49" s="3" t="b">
        <f t="shared" si="14"/>
        <v>1</v>
      </c>
      <c r="CF49" s="3" t="str">
        <f>GenRev!A49</f>
        <v>Portage Lakes Career Center</v>
      </c>
      <c r="CG49" s="16" t="b">
        <f t="shared" si="15"/>
        <v>1</v>
      </c>
      <c r="CI49" s="3" t="str">
        <f t="shared" si="16"/>
        <v>Summit</v>
      </c>
      <c r="CJ49" s="16" t="b">
        <f t="shared" si="17"/>
        <v>1</v>
      </c>
      <c r="CK49" s="16" t="b">
        <f t="shared" si="18"/>
        <v>1</v>
      </c>
      <c r="CM49" s="16" t="b">
        <f>C49=GenRev!C49</f>
        <v>1</v>
      </c>
    </row>
    <row r="50" spans="1:91" s="16" customFormat="1">
      <c r="A50" s="3" t="s">
        <v>260</v>
      </c>
      <c r="C50" s="16" t="s">
        <v>196</v>
      </c>
      <c r="E50" s="16">
        <v>51490</v>
      </c>
      <c r="G50" s="3">
        <v>0</v>
      </c>
      <c r="H50" s="3"/>
      <c r="I50" s="3">
        <v>189547</v>
      </c>
      <c r="J50" s="3"/>
      <c r="K50" s="3">
        <v>3574417</v>
      </c>
      <c r="L50" s="3"/>
      <c r="M50" s="32">
        <v>0</v>
      </c>
      <c r="N50" s="3"/>
      <c r="O50" s="3">
        <v>0</v>
      </c>
      <c r="P50" s="3"/>
      <c r="Q50" s="3">
        <v>279438</v>
      </c>
      <c r="R50" s="3"/>
      <c r="S50" s="3">
        <v>414023</v>
      </c>
      <c r="T50" s="3"/>
      <c r="U50" s="3">
        <v>13770</v>
      </c>
      <c r="V50" s="3"/>
      <c r="W50" s="3">
        <v>619405</v>
      </c>
      <c r="X50" s="3"/>
      <c r="Y50" s="3">
        <v>346872</v>
      </c>
      <c r="Z50" s="3"/>
      <c r="AA50" s="3">
        <v>0</v>
      </c>
      <c r="AB50" s="3"/>
      <c r="AC50" s="3">
        <v>963533</v>
      </c>
      <c r="AD50" s="3" t="s">
        <v>260</v>
      </c>
      <c r="AF50" s="16" t="s">
        <v>196</v>
      </c>
      <c r="AH50" s="3">
        <v>6296</v>
      </c>
      <c r="AI50" s="3"/>
      <c r="AJ50" s="3">
        <v>131122</v>
      </c>
      <c r="AK50" s="3"/>
      <c r="AL50" s="3">
        <v>0</v>
      </c>
      <c r="AM50" s="3"/>
      <c r="AN50" s="3">
        <v>0</v>
      </c>
      <c r="AO50" s="3"/>
      <c r="AP50" s="3">
        <v>0</v>
      </c>
      <c r="AQ50" s="3"/>
      <c r="AR50" s="3">
        <v>35991</v>
      </c>
      <c r="AS50" s="3"/>
      <c r="AT50" s="3">
        <v>0</v>
      </c>
      <c r="AU50" s="3"/>
      <c r="AV50" s="3">
        <v>0</v>
      </c>
      <c r="AW50" s="3"/>
      <c r="AX50" s="3">
        <v>0</v>
      </c>
      <c r="AY50" s="3"/>
      <c r="AZ50" s="3">
        <v>0</v>
      </c>
      <c r="BA50" s="3"/>
      <c r="BB50" s="3">
        <f t="shared" si="10"/>
        <v>6574414</v>
      </c>
      <c r="BC50" s="3"/>
      <c r="BD50" s="3">
        <v>27000</v>
      </c>
      <c r="BE50" s="3"/>
      <c r="BF50" s="3">
        <v>0</v>
      </c>
      <c r="BG50" s="3"/>
      <c r="BH50" s="3">
        <v>0</v>
      </c>
      <c r="BI50" s="3"/>
      <c r="BJ50" s="3">
        <v>0</v>
      </c>
      <c r="BK50" s="3" t="s">
        <v>260</v>
      </c>
      <c r="BM50" s="16" t="s">
        <v>196</v>
      </c>
      <c r="BN50" s="3"/>
      <c r="BO50" s="3">
        <f t="shared" si="11"/>
        <v>6601414</v>
      </c>
      <c r="BP50" s="3"/>
      <c r="BQ50" s="3">
        <f>GenRev!AW50-BO50</f>
        <v>-24357</v>
      </c>
      <c r="BR50" s="3"/>
      <c r="BS50" s="3">
        <v>2461306</v>
      </c>
      <c r="BT50" s="3"/>
      <c r="BU50" s="3">
        <v>0</v>
      </c>
      <c r="BV50" s="3"/>
      <c r="BW50" s="3">
        <f t="shared" si="2"/>
        <v>2436949</v>
      </c>
      <c r="BX50" s="3"/>
      <c r="BY50" s="17">
        <f>+BW50-GenBS!AE50</f>
        <v>0</v>
      </c>
      <c r="CB50" s="3"/>
      <c r="CC50" s="3" t="str">
        <f t="shared" si="12"/>
        <v>Scioto County JVSD</v>
      </c>
      <c r="CD50" s="3" t="b">
        <f t="shared" si="13"/>
        <v>1</v>
      </c>
      <c r="CE50" s="3" t="b">
        <f t="shared" si="14"/>
        <v>1</v>
      </c>
      <c r="CF50" s="3" t="str">
        <f>GenRev!A50</f>
        <v>Scioto County JVSD</v>
      </c>
      <c r="CG50" s="16" t="b">
        <f t="shared" si="15"/>
        <v>1</v>
      </c>
      <c r="CI50" s="3" t="str">
        <f t="shared" si="16"/>
        <v>Scioto</v>
      </c>
      <c r="CJ50" s="16" t="b">
        <f t="shared" si="17"/>
        <v>1</v>
      </c>
      <c r="CK50" s="16" t="b">
        <f t="shared" si="18"/>
        <v>1</v>
      </c>
      <c r="CM50" s="16" t="b">
        <f>C50=GenRev!C50</f>
        <v>1</v>
      </c>
    </row>
    <row r="51" spans="1:91" s="16" customFormat="1">
      <c r="A51" s="3" t="s">
        <v>211</v>
      </c>
      <c r="C51" s="16" t="s">
        <v>153</v>
      </c>
      <c r="E51" s="16">
        <v>50799</v>
      </c>
      <c r="G51" s="3">
        <v>158666</v>
      </c>
      <c r="H51" s="3"/>
      <c r="I51" s="3">
        <v>0</v>
      </c>
      <c r="J51" s="3"/>
      <c r="K51" s="3">
        <v>3209354</v>
      </c>
      <c r="L51" s="3"/>
      <c r="M51" s="32">
        <v>0</v>
      </c>
      <c r="N51" s="3"/>
      <c r="O51" s="3">
        <v>0</v>
      </c>
      <c r="P51" s="3"/>
      <c r="Q51" s="3">
        <v>319736</v>
      </c>
      <c r="R51" s="3"/>
      <c r="S51" s="3">
        <v>126059</v>
      </c>
      <c r="T51" s="3"/>
      <c r="U51" s="3">
        <v>42922</v>
      </c>
      <c r="V51" s="3"/>
      <c r="W51" s="3">
        <v>553021</v>
      </c>
      <c r="X51" s="3"/>
      <c r="Y51" s="3">
        <v>341897</v>
      </c>
      <c r="Z51" s="3"/>
      <c r="AA51" s="3">
        <v>4830</v>
      </c>
      <c r="AB51" s="3"/>
      <c r="AC51" s="3">
        <v>449414</v>
      </c>
      <c r="AD51" s="3" t="s">
        <v>211</v>
      </c>
      <c r="AF51" s="16" t="s">
        <v>153</v>
      </c>
      <c r="AH51" s="3">
        <v>26334</v>
      </c>
      <c r="AI51" s="3"/>
      <c r="AJ51" s="3">
        <v>43890</v>
      </c>
      <c r="AK51" s="3"/>
      <c r="AL51" s="3">
        <v>0</v>
      </c>
      <c r="AM51" s="3"/>
      <c r="AN51" s="3">
        <v>0</v>
      </c>
      <c r="AO51" s="3"/>
      <c r="AP51" s="3">
        <v>0</v>
      </c>
      <c r="AQ51" s="3"/>
      <c r="AR51" s="3">
        <v>9560</v>
      </c>
      <c r="AS51" s="3"/>
      <c r="AT51" s="3">
        <v>725</v>
      </c>
      <c r="AU51" s="3"/>
      <c r="AV51" s="3">
        <v>0</v>
      </c>
      <c r="AW51" s="3"/>
      <c r="AX51" s="3">
        <v>0</v>
      </c>
      <c r="AY51" s="3"/>
      <c r="AZ51" s="3">
        <v>0</v>
      </c>
      <c r="BA51" s="3"/>
      <c r="BB51" s="3">
        <f t="shared" si="10"/>
        <v>5286408</v>
      </c>
      <c r="BC51" s="3"/>
      <c r="BD51" s="3">
        <v>120000</v>
      </c>
      <c r="BE51" s="3"/>
      <c r="BF51" s="3">
        <v>0</v>
      </c>
      <c r="BG51" s="3"/>
      <c r="BH51" s="3">
        <v>0</v>
      </c>
      <c r="BI51" s="3"/>
      <c r="BJ51" s="3">
        <v>0</v>
      </c>
      <c r="BK51" s="3" t="s">
        <v>211</v>
      </c>
      <c r="BM51" s="16" t="s">
        <v>153</v>
      </c>
      <c r="BN51" s="3"/>
      <c r="BO51" s="3">
        <f t="shared" si="11"/>
        <v>5406408</v>
      </c>
      <c r="BP51" s="3"/>
      <c r="BQ51" s="3">
        <f>GenRev!AW51-BO51</f>
        <v>108299</v>
      </c>
      <c r="BR51" s="3"/>
      <c r="BS51" s="3">
        <v>3053988</v>
      </c>
      <c r="BT51" s="3"/>
      <c r="BU51" s="3">
        <v>0</v>
      </c>
      <c r="BV51" s="3"/>
      <c r="BW51" s="3">
        <f t="shared" si="2"/>
        <v>3162287</v>
      </c>
      <c r="BX51" s="3"/>
      <c r="BY51" s="17">
        <f>+BW51-GenBS!AE51</f>
        <v>0</v>
      </c>
      <c r="CB51" s="3"/>
      <c r="CC51" s="3" t="str">
        <f t="shared" si="12"/>
        <v>Southern Hills JVSD</v>
      </c>
      <c r="CD51" s="3" t="b">
        <f t="shared" si="13"/>
        <v>1</v>
      </c>
      <c r="CE51" s="3" t="b">
        <f t="shared" si="14"/>
        <v>1</v>
      </c>
      <c r="CF51" s="3" t="str">
        <f>GenRev!A51</f>
        <v>Southern Hills JVSD</v>
      </c>
      <c r="CG51" s="16" t="b">
        <f t="shared" si="15"/>
        <v>1</v>
      </c>
      <c r="CI51" s="3" t="str">
        <f t="shared" si="16"/>
        <v>Brown</v>
      </c>
      <c r="CJ51" s="16" t="b">
        <f t="shared" si="17"/>
        <v>1</v>
      </c>
      <c r="CK51" s="16" t="b">
        <f t="shared" si="18"/>
        <v>1</v>
      </c>
      <c r="CM51" s="16" t="b">
        <f>C51=GenRev!C51</f>
        <v>1</v>
      </c>
    </row>
    <row r="52" spans="1:91" s="16" customFormat="1">
      <c r="A52" s="3" t="s">
        <v>286</v>
      </c>
      <c r="C52" s="16" t="s">
        <v>155</v>
      </c>
      <c r="E52" s="16">
        <v>51532</v>
      </c>
      <c r="G52" s="3">
        <v>0</v>
      </c>
      <c r="H52" s="3"/>
      <c r="I52" s="3">
        <v>558988</v>
      </c>
      <c r="J52" s="3"/>
      <c r="K52" s="3">
        <v>5342067</v>
      </c>
      <c r="L52" s="3"/>
      <c r="M52" s="32">
        <v>0</v>
      </c>
      <c r="N52" s="3"/>
      <c r="O52" s="3">
        <v>0</v>
      </c>
      <c r="P52" s="3"/>
      <c r="Q52" s="3">
        <v>998398</v>
      </c>
      <c r="R52" s="3"/>
      <c r="S52" s="3">
        <v>454064</v>
      </c>
      <c r="T52" s="3"/>
      <c r="U52" s="3">
        <v>54966</v>
      </c>
      <c r="V52" s="3"/>
      <c r="W52" s="3">
        <v>815102</v>
      </c>
      <c r="X52" s="3"/>
      <c r="Y52" s="3">
        <v>549286</v>
      </c>
      <c r="Z52" s="3"/>
      <c r="AA52" s="3">
        <v>134065</v>
      </c>
      <c r="AB52" s="3"/>
      <c r="AC52" s="3">
        <v>1270030</v>
      </c>
      <c r="AD52" s="3" t="s">
        <v>286</v>
      </c>
      <c r="AF52" s="16" t="s">
        <v>155</v>
      </c>
      <c r="AH52" s="3">
        <v>56717</v>
      </c>
      <c r="AI52" s="3"/>
      <c r="AJ52" s="3">
        <v>35057</v>
      </c>
      <c r="AK52" s="3"/>
      <c r="AL52" s="3">
        <v>0</v>
      </c>
      <c r="AM52" s="3"/>
      <c r="AN52" s="3">
        <v>0</v>
      </c>
      <c r="AO52" s="3"/>
      <c r="AP52" s="3">
        <v>0</v>
      </c>
      <c r="AQ52" s="3"/>
      <c r="AR52" s="3">
        <v>28161</v>
      </c>
      <c r="AS52" s="3"/>
      <c r="AT52" s="3">
        <v>0</v>
      </c>
      <c r="AU52" s="3"/>
      <c r="AV52" s="3">
        <v>0</v>
      </c>
      <c r="AW52" s="3"/>
      <c r="AX52" s="3">
        <v>462035</v>
      </c>
      <c r="AY52" s="3"/>
      <c r="AZ52" s="3">
        <v>171756</v>
      </c>
      <c r="BA52" s="3"/>
      <c r="BB52" s="3">
        <f t="shared" si="10"/>
        <v>10930692</v>
      </c>
      <c r="BC52" s="3"/>
      <c r="BD52" s="3">
        <v>0</v>
      </c>
      <c r="BE52" s="3"/>
      <c r="BF52" s="3">
        <v>0</v>
      </c>
      <c r="BG52" s="3"/>
      <c r="BH52" s="3">
        <v>0</v>
      </c>
      <c r="BI52" s="3"/>
      <c r="BJ52" s="3">
        <v>0</v>
      </c>
      <c r="BK52" s="3" t="s">
        <v>286</v>
      </c>
      <c r="BM52" s="16" t="s">
        <v>155</v>
      </c>
      <c r="BN52" s="3"/>
      <c r="BO52" s="3">
        <f t="shared" si="11"/>
        <v>10930692</v>
      </c>
      <c r="BP52" s="3"/>
      <c r="BQ52" s="3">
        <f>GenRev!AW52-BO52</f>
        <v>955192</v>
      </c>
      <c r="BR52" s="3"/>
      <c r="BS52" s="3">
        <v>7366419</v>
      </c>
      <c r="BT52" s="3"/>
      <c r="BU52" s="3">
        <v>0</v>
      </c>
      <c r="BV52" s="3"/>
      <c r="BW52" s="3">
        <f t="shared" si="2"/>
        <v>8321611</v>
      </c>
      <c r="BX52" s="3"/>
      <c r="BY52" s="17">
        <f>+BW52-GenBS!AE52</f>
        <v>0</v>
      </c>
      <c r="CB52" s="32"/>
      <c r="CC52" s="3" t="str">
        <f t="shared" si="12"/>
        <v>Springfield-Clark Co Career Tech Center</v>
      </c>
      <c r="CD52" s="3" t="b">
        <f t="shared" si="13"/>
        <v>1</v>
      </c>
      <c r="CE52" s="3" t="b">
        <f t="shared" si="14"/>
        <v>1</v>
      </c>
      <c r="CF52" s="3" t="str">
        <f>GenRev!A52</f>
        <v>Springfield-Clark Co Career Tech Center</v>
      </c>
      <c r="CG52" s="16" t="b">
        <f t="shared" si="15"/>
        <v>1</v>
      </c>
      <c r="CI52" s="3" t="str">
        <f t="shared" si="16"/>
        <v>Clark</v>
      </c>
      <c r="CJ52" s="16" t="b">
        <f t="shared" si="17"/>
        <v>1</v>
      </c>
      <c r="CK52" s="16" t="b">
        <f t="shared" si="18"/>
        <v>1</v>
      </c>
      <c r="CM52" s="16" t="b">
        <f>C52=GenRev!C52</f>
        <v>1</v>
      </c>
    </row>
    <row r="53" spans="1:91" s="16" customFormat="1">
      <c r="A53" s="3" t="s">
        <v>226</v>
      </c>
      <c r="C53" s="16" t="s">
        <v>199</v>
      </c>
      <c r="E53" s="16">
        <v>62026</v>
      </c>
      <c r="G53" s="3">
        <v>859127</v>
      </c>
      <c r="H53" s="3"/>
      <c r="I53" s="3">
        <v>97628</v>
      </c>
      <c r="J53" s="3"/>
      <c r="K53" s="3">
        <v>3723960</v>
      </c>
      <c r="L53" s="3"/>
      <c r="M53" s="32">
        <v>0</v>
      </c>
      <c r="N53" s="3"/>
      <c r="O53" s="3">
        <v>780</v>
      </c>
      <c r="P53" s="3"/>
      <c r="Q53" s="3">
        <v>856127</v>
      </c>
      <c r="R53" s="3"/>
      <c r="S53" s="3">
        <v>478694</v>
      </c>
      <c r="T53" s="3"/>
      <c r="U53" s="3">
        <v>12856</v>
      </c>
      <c r="V53" s="3"/>
      <c r="W53" s="3">
        <v>280777</v>
      </c>
      <c r="X53" s="3"/>
      <c r="Y53" s="3">
        <v>258811</v>
      </c>
      <c r="Z53" s="3"/>
      <c r="AA53" s="3">
        <v>32037</v>
      </c>
      <c r="AB53" s="3"/>
      <c r="AC53" s="3">
        <v>787539</v>
      </c>
      <c r="AD53" s="3" t="s">
        <v>226</v>
      </c>
      <c r="AF53" s="16" t="s">
        <v>199</v>
      </c>
      <c r="AH53" s="3">
        <v>0</v>
      </c>
      <c r="AI53" s="3"/>
      <c r="AJ53" s="3">
        <v>110841</v>
      </c>
      <c r="AK53" s="3"/>
      <c r="AL53" s="3">
        <v>0</v>
      </c>
      <c r="AM53" s="3"/>
      <c r="AN53" s="3">
        <v>0</v>
      </c>
      <c r="AO53" s="3"/>
      <c r="AP53" s="3">
        <v>365</v>
      </c>
      <c r="AQ53" s="3"/>
      <c r="AR53" s="3">
        <v>61718</v>
      </c>
      <c r="AS53" s="3"/>
      <c r="AT53" s="3">
        <v>72</v>
      </c>
      <c r="AU53" s="3"/>
      <c r="AV53" s="3">
        <v>0</v>
      </c>
      <c r="AW53" s="3"/>
      <c r="AX53" s="3">
        <v>0</v>
      </c>
      <c r="AY53" s="3"/>
      <c r="AZ53" s="3">
        <v>0</v>
      </c>
      <c r="BA53" s="3"/>
      <c r="BB53" s="3">
        <f t="shared" si="10"/>
        <v>7561332</v>
      </c>
      <c r="BC53" s="3"/>
      <c r="BD53" s="3">
        <v>0</v>
      </c>
      <c r="BE53" s="3"/>
      <c r="BF53" s="3">
        <v>0</v>
      </c>
      <c r="BG53" s="3"/>
      <c r="BH53" s="3">
        <v>0</v>
      </c>
      <c r="BI53" s="3"/>
      <c r="BJ53" s="3">
        <v>0</v>
      </c>
      <c r="BK53" s="3" t="s">
        <v>226</v>
      </c>
      <c r="BM53" s="16" t="s">
        <v>199</v>
      </c>
      <c r="BN53" s="3"/>
      <c r="BO53" s="3">
        <f t="shared" si="11"/>
        <v>7561332</v>
      </c>
      <c r="BP53" s="3"/>
      <c r="BQ53" s="3">
        <f>GenRev!AW53-BO53</f>
        <v>382097</v>
      </c>
      <c r="BR53" s="3"/>
      <c r="BS53" s="3">
        <v>9529504</v>
      </c>
      <c r="BT53" s="3"/>
      <c r="BU53" s="3">
        <v>0</v>
      </c>
      <c r="BV53" s="3"/>
      <c r="BW53" s="3">
        <f t="shared" si="2"/>
        <v>9911601</v>
      </c>
      <c r="BX53" s="3"/>
      <c r="BY53" s="17">
        <f>+BW53-GenBS!AE53</f>
        <v>0</v>
      </c>
      <c r="CB53" s="3"/>
      <c r="CC53" s="3" t="str">
        <f t="shared" si="12"/>
        <v>Stark County Area JVSD</v>
      </c>
      <c r="CD53" s="3" t="b">
        <f t="shared" si="13"/>
        <v>1</v>
      </c>
      <c r="CE53" s="3" t="b">
        <f t="shared" si="14"/>
        <v>1</v>
      </c>
      <c r="CF53" s="3" t="str">
        <f>GenRev!A53</f>
        <v>Stark County Area JVSD</v>
      </c>
      <c r="CG53" s="16" t="b">
        <f t="shared" si="15"/>
        <v>1</v>
      </c>
      <c r="CI53" s="3" t="str">
        <f t="shared" si="16"/>
        <v>Stark</v>
      </c>
      <c r="CJ53" s="16" t="b">
        <f t="shared" si="17"/>
        <v>1</v>
      </c>
      <c r="CK53" s="16" t="b">
        <f t="shared" si="18"/>
        <v>1</v>
      </c>
      <c r="CM53" s="16" t="b">
        <f>C53=GenRev!C53</f>
        <v>1</v>
      </c>
    </row>
    <row r="54" spans="1:91" s="16" customFormat="1">
      <c r="A54" s="3" t="s">
        <v>290</v>
      </c>
      <c r="C54" s="16" t="s">
        <v>220</v>
      </c>
      <c r="G54" s="3">
        <v>1745708</v>
      </c>
      <c r="H54" s="3"/>
      <c r="I54" s="3">
        <v>730153</v>
      </c>
      <c r="J54" s="3"/>
      <c r="K54" s="3">
        <v>3566538</v>
      </c>
      <c r="L54" s="3"/>
      <c r="M54" s="32">
        <v>0</v>
      </c>
      <c r="N54" s="3"/>
      <c r="O54" s="3">
        <v>123900</v>
      </c>
      <c r="P54" s="3"/>
      <c r="Q54" s="3">
        <v>788631</v>
      </c>
      <c r="R54" s="3"/>
      <c r="S54" s="3">
        <v>1194948</v>
      </c>
      <c r="T54" s="3"/>
      <c r="U54" s="3">
        <v>85529</v>
      </c>
      <c r="V54" s="3"/>
      <c r="W54" s="3">
        <v>934845</v>
      </c>
      <c r="X54" s="3"/>
      <c r="Y54" s="3">
        <v>387132</v>
      </c>
      <c r="Z54" s="3"/>
      <c r="AA54" s="3">
        <v>0</v>
      </c>
      <c r="AB54" s="3"/>
      <c r="AC54" s="3">
        <v>1403492</v>
      </c>
      <c r="AD54" s="3" t="s">
        <v>290</v>
      </c>
      <c r="AF54" s="16" t="s">
        <v>220</v>
      </c>
      <c r="AH54" s="3">
        <v>12500</v>
      </c>
      <c r="AI54" s="3"/>
      <c r="AJ54" s="3">
        <v>29179</v>
      </c>
      <c r="AK54" s="3"/>
      <c r="AL54" s="3">
        <v>0</v>
      </c>
      <c r="AM54" s="3"/>
      <c r="AN54" s="3">
        <v>0</v>
      </c>
      <c r="AO54" s="3"/>
      <c r="AP54" s="3">
        <v>0</v>
      </c>
      <c r="AQ54" s="3"/>
      <c r="AR54" s="3">
        <v>36784</v>
      </c>
      <c r="AS54" s="3"/>
      <c r="AT54" s="3">
        <v>0</v>
      </c>
      <c r="AU54" s="3"/>
      <c r="AV54" s="3">
        <v>0</v>
      </c>
      <c r="AW54" s="3"/>
      <c r="AX54" s="3">
        <v>21456</v>
      </c>
      <c r="AY54" s="3"/>
      <c r="AZ54" s="3">
        <v>3488</v>
      </c>
      <c r="BA54" s="3"/>
      <c r="BB54" s="3">
        <f t="shared" si="10"/>
        <v>11064283</v>
      </c>
      <c r="BC54" s="3"/>
      <c r="BD54" s="3">
        <v>899875</v>
      </c>
      <c r="BE54" s="3"/>
      <c r="BF54" s="3">
        <v>0</v>
      </c>
      <c r="BG54" s="3"/>
      <c r="BH54" s="3">
        <v>0</v>
      </c>
      <c r="BI54" s="3"/>
      <c r="BJ54" s="3">
        <v>0</v>
      </c>
      <c r="BK54" s="3" t="s">
        <v>290</v>
      </c>
      <c r="BM54" s="16" t="s">
        <v>220</v>
      </c>
      <c r="BN54" s="3"/>
      <c r="BO54" s="3">
        <f t="shared" si="11"/>
        <v>11964158</v>
      </c>
      <c r="BP54" s="3"/>
      <c r="BQ54" s="3">
        <f>GenRev!AW54-BO54</f>
        <v>-399590</v>
      </c>
      <c r="BR54" s="3"/>
      <c r="BS54" s="3">
        <v>7541076</v>
      </c>
      <c r="BT54" s="3"/>
      <c r="BU54" s="3">
        <v>0</v>
      </c>
      <c r="BV54" s="3"/>
      <c r="BW54" s="3">
        <f t="shared" si="2"/>
        <v>7141486</v>
      </c>
      <c r="BX54" s="3"/>
      <c r="BY54" s="17">
        <f>+BW54-GenBS!AE54</f>
        <v>0</v>
      </c>
      <c r="CB54" s="3"/>
      <c r="CC54" s="3" t="str">
        <f t="shared" si="12"/>
        <v>Tolles Career and Technical Center</v>
      </c>
      <c r="CD54" s="3" t="b">
        <f t="shared" si="13"/>
        <v>1</v>
      </c>
      <c r="CE54" s="3" t="b">
        <f t="shared" si="14"/>
        <v>1</v>
      </c>
      <c r="CF54" s="3" t="str">
        <f>GenRev!A54</f>
        <v>Tolles Career and Technical Center</v>
      </c>
      <c r="CG54" s="16" t="b">
        <f t="shared" si="15"/>
        <v>1</v>
      </c>
      <c r="CI54" s="3" t="str">
        <f t="shared" si="16"/>
        <v>Madison</v>
      </c>
      <c r="CJ54" s="16" t="b">
        <f t="shared" si="17"/>
        <v>1</v>
      </c>
      <c r="CK54" s="16" t="b">
        <f t="shared" si="18"/>
        <v>1</v>
      </c>
      <c r="CM54" s="16" t="b">
        <f>C54=GenRev!C54</f>
        <v>1</v>
      </c>
    </row>
    <row r="55" spans="1:91" s="16" customFormat="1">
      <c r="A55" s="3" t="s">
        <v>312</v>
      </c>
      <c r="C55" s="16" t="s">
        <v>148</v>
      </c>
      <c r="E55" s="16">
        <v>51607</v>
      </c>
      <c r="G55" s="3">
        <v>348009</v>
      </c>
      <c r="H55" s="3"/>
      <c r="I55" s="3">
        <v>0</v>
      </c>
      <c r="J55" s="3"/>
      <c r="K55" s="3">
        <v>3520341</v>
      </c>
      <c r="L55" s="3"/>
      <c r="M55" s="32">
        <v>0</v>
      </c>
      <c r="N55" s="3"/>
      <c r="O55" s="3">
        <v>0</v>
      </c>
      <c r="P55" s="3"/>
      <c r="Q55" s="3">
        <v>367273</v>
      </c>
      <c r="R55" s="3"/>
      <c r="S55" s="3">
        <v>110847</v>
      </c>
      <c r="T55" s="3"/>
      <c r="U55" s="3">
        <v>175840</v>
      </c>
      <c r="V55" s="3"/>
      <c r="W55" s="3">
        <v>791985</v>
      </c>
      <c r="X55" s="3"/>
      <c r="Y55" s="3">
        <v>499354</v>
      </c>
      <c r="Z55" s="3"/>
      <c r="AA55" s="3">
        <v>72657</v>
      </c>
      <c r="AB55" s="3"/>
      <c r="AC55" s="3">
        <v>839880</v>
      </c>
      <c r="AD55" s="3" t="s">
        <v>312</v>
      </c>
      <c r="AF55" s="16" t="s">
        <v>148</v>
      </c>
      <c r="AH55" s="3">
        <v>1433</v>
      </c>
      <c r="AI55" s="3"/>
      <c r="AJ55" s="3">
        <v>28111</v>
      </c>
      <c r="AK55" s="3"/>
      <c r="AL55" s="3">
        <v>0</v>
      </c>
      <c r="AM55" s="3"/>
      <c r="AN55" s="3">
        <v>0</v>
      </c>
      <c r="AO55" s="3"/>
      <c r="AP55" s="3">
        <v>388</v>
      </c>
      <c r="AQ55" s="3"/>
      <c r="AR55" s="3">
        <v>3347</v>
      </c>
      <c r="AS55" s="3"/>
      <c r="AT55" s="3">
        <v>0</v>
      </c>
      <c r="AU55" s="3"/>
      <c r="AV55" s="3">
        <v>0</v>
      </c>
      <c r="AW55" s="3"/>
      <c r="AX55" s="3">
        <v>0</v>
      </c>
      <c r="AY55" s="3"/>
      <c r="AZ55" s="3">
        <v>0</v>
      </c>
      <c r="BA55" s="3"/>
      <c r="BB55" s="3">
        <f t="shared" si="10"/>
        <v>6759465</v>
      </c>
      <c r="BC55" s="3"/>
      <c r="BD55" s="3">
        <v>225000</v>
      </c>
      <c r="BE55" s="3"/>
      <c r="BF55" s="3">
        <v>0</v>
      </c>
      <c r="BG55" s="3"/>
      <c r="BH55" s="3">
        <v>0</v>
      </c>
      <c r="BI55" s="3"/>
      <c r="BJ55" s="3">
        <v>0</v>
      </c>
      <c r="BK55" s="3" t="s">
        <v>312</v>
      </c>
      <c r="BM55" s="16" t="s">
        <v>148</v>
      </c>
      <c r="BN55" s="3"/>
      <c r="BO55" s="3">
        <f t="shared" si="11"/>
        <v>6984465</v>
      </c>
      <c r="BP55" s="3"/>
      <c r="BQ55" s="3">
        <f>GenRev!AW55-BO55</f>
        <v>506542</v>
      </c>
      <c r="BR55" s="3"/>
      <c r="BS55" s="3">
        <v>2200191</v>
      </c>
      <c r="BT55" s="3"/>
      <c r="BU55" s="3">
        <v>0</v>
      </c>
      <c r="BV55" s="3"/>
      <c r="BW55" s="3">
        <f t="shared" si="2"/>
        <v>2706733</v>
      </c>
      <c r="BX55" s="3"/>
      <c r="BY55" s="17">
        <f>+BW55-GenBS!AE55</f>
        <v>0</v>
      </c>
      <c r="CB55" s="3"/>
      <c r="CC55" s="3" t="str">
        <f t="shared" si="12"/>
        <v>Tri County Career Center</v>
      </c>
      <c r="CD55" s="3" t="b">
        <f t="shared" si="13"/>
        <v>1</v>
      </c>
      <c r="CE55" s="3" t="b">
        <f t="shared" si="14"/>
        <v>1</v>
      </c>
      <c r="CF55" s="3" t="str">
        <f>GenRev!A55</f>
        <v>Tri County Career Center</v>
      </c>
      <c r="CG55" s="16" t="b">
        <f t="shared" si="15"/>
        <v>1</v>
      </c>
      <c r="CI55" s="3" t="str">
        <f t="shared" si="16"/>
        <v>Athens</v>
      </c>
      <c r="CJ55" s="16" t="b">
        <f t="shared" si="17"/>
        <v>1</v>
      </c>
      <c r="CK55" s="16" t="b">
        <f t="shared" si="18"/>
        <v>1</v>
      </c>
      <c r="CM55" s="16" t="b">
        <f>C55=GenRev!C55</f>
        <v>1</v>
      </c>
    </row>
    <row r="56" spans="1:91" s="16" customFormat="1">
      <c r="A56" s="3" t="s">
        <v>221</v>
      </c>
      <c r="C56" s="16" t="s">
        <v>222</v>
      </c>
      <c r="E56" s="16">
        <v>65268</v>
      </c>
      <c r="G56" s="3">
        <v>275550</v>
      </c>
      <c r="H56" s="3"/>
      <c r="I56" s="3">
        <v>0</v>
      </c>
      <c r="J56" s="3"/>
      <c r="K56" s="3">
        <v>5378002</v>
      </c>
      <c r="L56" s="3"/>
      <c r="M56" s="32">
        <v>0</v>
      </c>
      <c r="N56" s="3"/>
      <c r="O56" s="3">
        <v>0</v>
      </c>
      <c r="P56" s="3"/>
      <c r="Q56" s="3">
        <v>616130</v>
      </c>
      <c r="R56" s="3"/>
      <c r="S56" s="3">
        <v>327953</v>
      </c>
      <c r="T56" s="3"/>
      <c r="U56" s="3">
        <v>91285</v>
      </c>
      <c r="V56" s="3"/>
      <c r="W56" s="3">
        <v>830523</v>
      </c>
      <c r="X56" s="3"/>
      <c r="Y56" s="3">
        <v>379472</v>
      </c>
      <c r="Z56" s="3"/>
      <c r="AA56" s="3">
        <v>212787</v>
      </c>
      <c r="AB56" s="3"/>
      <c r="AC56" s="3">
        <v>966107</v>
      </c>
      <c r="AD56" s="3" t="s">
        <v>221</v>
      </c>
      <c r="AF56" s="16" t="s">
        <v>222</v>
      </c>
      <c r="AH56" s="3">
        <v>10766</v>
      </c>
      <c r="AI56" s="3"/>
      <c r="AJ56" s="3">
        <v>594051</v>
      </c>
      <c r="AK56" s="3"/>
      <c r="AL56" s="3">
        <v>0</v>
      </c>
      <c r="AM56" s="3"/>
      <c r="AN56" s="3">
        <v>0</v>
      </c>
      <c r="AO56" s="3"/>
      <c r="AP56" s="3">
        <v>766</v>
      </c>
      <c r="AQ56" s="3"/>
      <c r="AR56" s="3">
        <v>26007</v>
      </c>
      <c r="AS56" s="3"/>
      <c r="AT56" s="3">
        <v>95146</v>
      </c>
      <c r="AU56" s="3"/>
      <c r="AV56" s="3">
        <v>0</v>
      </c>
      <c r="AW56" s="3"/>
      <c r="AX56" s="3">
        <v>22524</v>
      </c>
      <c r="AY56" s="3"/>
      <c r="AZ56" s="3">
        <v>3710</v>
      </c>
      <c r="BA56" s="3"/>
      <c r="BB56" s="3">
        <f t="shared" si="10"/>
        <v>9830779</v>
      </c>
      <c r="BC56" s="3"/>
      <c r="BD56" s="3">
        <v>153393</v>
      </c>
      <c r="BE56" s="3"/>
      <c r="BF56" s="3">
        <v>0</v>
      </c>
      <c r="BG56" s="3"/>
      <c r="BH56" s="3">
        <v>0</v>
      </c>
      <c r="BI56" s="3"/>
      <c r="BJ56" s="3">
        <v>0</v>
      </c>
      <c r="BK56" s="3" t="s">
        <v>221</v>
      </c>
      <c r="BM56" s="16" t="s">
        <v>222</v>
      </c>
      <c r="BN56" s="3"/>
      <c r="BO56" s="3">
        <f t="shared" si="11"/>
        <v>9984172</v>
      </c>
      <c r="BP56" s="3"/>
      <c r="BQ56" s="3">
        <f>GenRev!AW56-BO56</f>
        <v>820932</v>
      </c>
      <c r="BR56" s="3"/>
      <c r="BS56" s="3">
        <v>3259985</v>
      </c>
      <c r="BT56" s="3"/>
      <c r="BU56" s="3">
        <v>0</v>
      </c>
      <c r="BV56" s="3"/>
      <c r="BW56" s="3">
        <f t="shared" si="2"/>
        <v>4080917</v>
      </c>
      <c r="BX56" s="3"/>
      <c r="BY56" s="17">
        <f>+BW56-GenBS!AE56</f>
        <v>0</v>
      </c>
      <c r="CB56" s="3"/>
      <c r="CC56" s="3" t="str">
        <f t="shared" si="12"/>
        <v>Tri-Rivers JVSD</v>
      </c>
      <c r="CD56" s="3" t="b">
        <f t="shared" si="13"/>
        <v>1</v>
      </c>
      <c r="CE56" s="3" t="b">
        <f t="shared" si="14"/>
        <v>1</v>
      </c>
      <c r="CF56" s="3" t="str">
        <f>GenRev!A56</f>
        <v>Tri-Rivers JVSD</v>
      </c>
      <c r="CG56" s="16" t="b">
        <f t="shared" si="15"/>
        <v>1</v>
      </c>
      <c r="CI56" s="3" t="str">
        <f t="shared" si="16"/>
        <v>Marion</v>
      </c>
      <c r="CJ56" s="16" t="b">
        <f t="shared" si="17"/>
        <v>1</v>
      </c>
      <c r="CK56" s="16" t="b">
        <f t="shared" si="18"/>
        <v>1</v>
      </c>
      <c r="CM56" s="16" t="b">
        <f>C56=GenRev!C56</f>
        <v>1</v>
      </c>
    </row>
    <row r="57" spans="1:91" s="16" customFormat="1">
      <c r="A57" s="3" t="s">
        <v>313</v>
      </c>
      <c r="C57" s="16" t="s">
        <v>201</v>
      </c>
      <c r="E57" s="16">
        <v>51631</v>
      </c>
      <c r="G57" s="3">
        <v>1896048</v>
      </c>
      <c r="H57" s="3"/>
      <c r="I57" s="3">
        <v>593717</v>
      </c>
      <c r="J57" s="3"/>
      <c r="K57" s="3">
        <v>4777458</v>
      </c>
      <c r="L57" s="3"/>
      <c r="M57" s="32">
        <v>0</v>
      </c>
      <c r="N57" s="3"/>
      <c r="O57" s="3">
        <v>0</v>
      </c>
      <c r="P57" s="3"/>
      <c r="Q57" s="3">
        <v>1174563</v>
      </c>
      <c r="R57" s="3"/>
      <c r="S57" s="3">
        <v>327749</v>
      </c>
      <c r="T57" s="3"/>
      <c r="U57" s="3">
        <v>70243</v>
      </c>
      <c r="V57" s="3"/>
      <c r="W57" s="3">
        <v>1835172</v>
      </c>
      <c r="X57" s="3"/>
      <c r="Y57" s="3">
        <v>525506</v>
      </c>
      <c r="Z57" s="3"/>
      <c r="AA57" s="3">
        <v>40901</v>
      </c>
      <c r="AB57" s="3"/>
      <c r="AC57" s="3">
        <v>1051677</v>
      </c>
      <c r="AD57" s="3" t="s">
        <v>313</v>
      </c>
      <c r="AF57" s="16" t="s">
        <v>201</v>
      </c>
      <c r="AH57" s="3">
        <v>96506</v>
      </c>
      <c r="AI57" s="3"/>
      <c r="AJ57" s="3">
        <v>84913</v>
      </c>
      <c r="AK57" s="3"/>
      <c r="AL57" s="3">
        <v>0</v>
      </c>
      <c r="AM57" s="3"/>
      <c r="AN57" s="3">
        <v>0</v>
      </c>
      <c r="AO57" s="3"/>
      <c r="AP57" s="3">
        <v>8748</v>
      </c>
      <c r="AQ57" s="3"/>
      <c r="AR57" s="3">
        <v>106672</v>
      </c>
      <c r="AS57" s="3"/>
      <c r="AT57" s="3">
        <v>0</v>
      </c>
      <c r="AU57" s="3"/>
      <c r="AV57" s="3">
        <v>0</v>
      </c>
      <c r="AW57" s="3"/>
      <c r="AX57" s="3">
        <v>158000</v>
      </c>
      <c r="AY57" s="3"/>
      <c r="AZ57" s="3">
        <v>269106</v>
      </c>
      <c r="BA57" s="3"/>
      <c r="BB57" s="3">
        <f t="shared" si="10"/>
        <v>13016979</v>
      </c>
      <c r="BC57" s="3"/>
      <c r="BD57" s="3">
        <v>386500</v>
      </c>
      <c r="BE57" s="3"/>
      <c r="BF57" s="3">
        <v>0</v>
      </c>
      <c r="BG57" s="3"/>
      <c r="BH57" s="3">
        <v>0</v>
      </c>
      <c r="BI57" s="3"/>
      <c r="BJ57" s="3">
        <v>0</v>
      </c>
      <c r="BK57" s="3" t="s">
        <v>313</v>
      </c>
      <c r="BM57" s="16" t="s">
        <v>201</v>
      </c>
      <c r="BN57" s="3"/>
      <c r="BO57" s="3">
        <f t="shared" si="11"/>
        <v>13403479</v>
      </c>
      <c r="BP57" s="3"/>
      <c r="BQ57" s="3">
        <f>GenRev!AW57-BO57</f>
        <v>-232953</v>
      </c>
      <c r="BR57" s="3"/>
      <c r="BS57" s="3">
        <v>8937784</v>
      </c>
      <c r="BT57" s="3"/>
      <c r="BU57" s="3">
        <v>0</v>
      </c>
      <c r="BV57" s="3"/>
      <c r="BW57" s="3">
        <f t="shared" si="2"/>
        <v>8704831</v>
      </c>
      <c r="BX57" s="3"/>
      <c r="BY57" s="17">
        <f>+BW57-GenBS!AE57</f>
        <v>0</v>
      </c>
      <c r="CB57" s="3"/>
      <c r="CC57" s="3" t="str">
        <f t="shared" si="12"/>
        <v>Trumbull Career &amp; Tech Center</v>
      </c>
      <c r="CD57" s="3" t="b">
        <f t="shared" si="13"/>
        <v>1</v>
      </c>
      <c r="CE57" s="3" t="b">
        <f t="shared" si="14"/>
        <v>1</v>
      </c>
      <c r="CF57" s="3" t="str">
        <f>GenRev!A57</f>
        <v>Trumbull Career &amp; Tech Center</v>
      </c>
      <c r="CG57" s="16" t="b">
        <f t="shared" si="15"/>
        <v>1</v>
      </c>
      <c r="CI57" s="3" t="str">
        <f t="shared" si="16"/>
        <v>Trumbull</v>
      </c>
      <c r="CJ57" s="16" t="b">
        <f t="shared" si="17"/>
        <v>1</v>
      </c>
      <c r="CK57" s="16" t="b">
        <f t="shared" si="18"/>
        <v>1</v>
      </c>
      <c r="CM57" s="16" t="b">
        <f>C57=GenRev!C57</f>
        <v>1</v>
      </c>
    </row>
    <row r="58" spans="1:91" s="16" customFormat="1">
      <c r="A58" s="3" t="s">
        <v>212</v>
      </c>
      <c r="C58" s="16" t="s">
        <v>157</v>
      </c>
      <c r="E58" s="16">
        <v>62802</v>
      </c>
      <c r="G58" s="3">
        <v>261717</v>
      </c>
      <c r="H58" s="3"/>
      <c r="I58" s="3">
        <v>133222</v>
      </c>
      <c r="J58" s="3"/>
      <c r="K58" s="3">
        <v>3575518</v>
      </c>
      <c r="L58" s="3"/>
      <c r="M58" s="32">
        <v>246509</v>
      </c>
      <c r="N58" s="3"/>
      <c r="O58" s="3">
        <v>0</v>
      </c>
      <c r="P58" s="3"/>
      <c r="Q58" s="3">
        <v>503939</v>
      </c>
      <c r="R58" s="3"/>
      <c r="S58" s="3">
        <v>164880</v>
      </c>
      <c r="T58" s="3"/>
      <c r="U58" s="3">
        <v>61258</v>
      </c>
      <c r="V58" s="3"/>
      <c r="W58" s="3">
        <v>402998</v>
      </c>
      <c r="X58" s="3"/>
      <c r="Y58" s="3">
        <v>466494</v>
      </c>
      <c r="Z58" s="3"/>
      <c r="AA58" s="3">
        <v>2546</v>
      </c>
      <c r="AB58" s="3"/>
      <c r="AC58" s="3">
        <v>689112</v>
      </c>
      <c r="AD58" s="3" t="s">
        <v>212</v>
      </c>
      <c r="AF58" s="16" t="s">
        <v>157</v>
      </c>
      <c r="AH58" s="3">
        <v>0</v>
      </c>
      <c r="AI58" s="3"/>
      <c r="AJ58" s="3">
        <v>101894</v>
      </c>
      <c r="AK58" s="3"/>
      <c r="AL58" s="3">
        <v>0</v>
      </c>
      <c r="AM58" s="3"/>
      <c r="AN58" s="3">
        <v>0</v>
      </c>
      <c r="AO58" s="3"/>
      <c r="AP58" s="3">
        <v>0</v>
      </c>
      <c r="AQ58" s="3"/>
      <c r="AR58" s="3">
        <v>42697</v>
      </c>
      <c r="AS58" s="3"/>
      <c r="AT58" s="3">
        <v>0</v>
      </c>
      <c r="AU58" s="3"/>
      <c r="AV58" s="3">
        <v>0</v>
      </c>
      <c r="AW58" s="3"/>
      <c r="AX58" s="3">
        <v>0</v>
      </c>
      <c r="AY58" s="3"/>
      <c r="AZ58" s="3">
        <v>0</v>
      </c>
      <c r="BA58" s="3"/>
      <c r="BB58" s="3">
        <f t="shared" si="10"/>
        <v>6652784</v>
      </c>
      <c r="BC58" s="3"/>
      <c r="BD58" s="3">
        <v>75000</v>
      </c>
      <c r="BE58" s="3"/>
      <c r="BF58" s="3">
        <v>0</v>
      </c>
      <c r="BG58" s="3"/>
      <c r="BH58" s="3">
        <v>0</v>
      </c>
      <c r="BI58" s="3"/>
      <c r="BJ58" s="3">
        <v>0</v>
      </c>
      <c r="BK58" s="3" t="s">
        <v>212</v>
      </c>
      <c r="BM58" s="16" t="s">
        <v>157</v>
      </c>
      <c r="BN58" s="3"/>
      <c r="BO58" s="3">
        <f t="shared" si="11"/>
        <v>6727784</v>
      </c>
      <c r="BP58" s="3"/>
      <c r="BQ58" s="3">
        <f>GenRev!AW58-BO58</f>
        <v>1416814</v>
      </c>
      <c r="BR58" s="3"/>
      <c r="BS58" s="3">
        <v>8032505</v>
      </c>
      <c r="BT58" s="3"/>
      <c r="BU58" s="3">
        <v>0</v>
      </c>
      <c r="BV58" s="3"/>
      <c r="BW58" s="3">
        <f t="shared" si="2"/>
        <v>9449319</v>
      </c>
      <c r="BX58" s="3"/>
      <c r="BY58" s="17">
        <f>+BW58-GenBS!AE58</f>
        <v>0</v>
      </c>
      <c r="CB58" s="3"/>
      <c r="CC58" s="3" t="str">
        <f t="shared" si="12"/>
        <v>U S Grant JVSD</v>
      </c>
      <c r="CD58" s="3" t="b">
        <f t="shared" si="13"/>
        <v>1</v>
      </c>
      <c r="CE58" s="3" t="b">
        <f t="shared" si="14"/>
        <v>1</v>
      </c>
      <c r="CF58" s="3" t="str">
        <f>GenRev!A58</f>
        <v>U S Grant JVSD</v>
      </c>
      <c r="CG58" s="16" t="b">
        <f t="shared" si="15"/>
        <v>1</v>
      </c>
      <c r="CI58" s="3" t="str">
        <f t="shared" si="16"/>
        <v>Clermont</v>
      </c>
      <c r="CJ58" s="16" t="b">
        <f t="shared" si="17"/>
        <v>1</v>
      </c>
      <c r="CK58" s="16" t="b">
        <f t="shared" si="18"/>
        <v>1</v>
      </c>
      <c r="CM58" s="16" t="b">
        <f>C58=GenRev!C58</f>
        <v>1</v>
      </c>
    </row>
    <row r="59" spans="1:91" s="16" customFormat="1">
      <c r="A59" s="3" t="s">
        <v>224</v>
      </c>
      <c r="C59" s="16" t="s">
        <v>183</v>
      </c>
      <c r="E59" s="16">
        <v>62125</v>
      </c>
      <c r="G59" s="3">
        <v>2073939</v>
      </c>
      <c r="H59" s="3"/>
      <c r="I59" s="3">
        <v>1053596</v>
      </c>
      <c r="J59" s="3"/>
      <c r="K59" s="3">
        <v>8740850</v>
      </c>
      <c r="L59" s="3"/>
      <c r="M59" s="32">
        <v>0</v>
      </c>
      <c r="N59" s="3"/>
      <c r="O59" s="3">
        <v>20777</v>
      </c>
      <c r="P59" s="3"/>
      <c r="Q59" s="3">
        <v>708337</v>
      </c>
      <c r="R59" s="3"/>
      <c r="S59" s="3">
        <v>177795</v>
      </c>
      <c r="T59" s="3"/>
      <c r="U59" s="3">
        <v>60261</v>
      </c>
      <c r="V59" s="3"/>
      <c r="W59" s="3">
        <v>2251458</v>
      </c>
      <c r="X59" s="3"/>
      <c r="Y59" s="3">
        <v>516164</v>
      </c>
      <c r="Z59" s="3"/>
      <c r="AA59" s="3">
        <v>178217</v>
      </c>
      <c r="AB59" s="3"/>
      <c r="AC59" s="3">
        <v>1218149</v>
      </c>
      <c r="AD59" s="3" t="s">
        <v>224</v>
      </c>
      <c r="AF59" s="16" t="s">
        <v>183</v>
      </c>
      <c r="AH59" s="3">
        <v>50753</v>
      </c>
      <c r="AI59" s="3"/>
      <c r="AJ59" s="3">
        <v>881402</v>
      </c>
      <c r="AK59" s="3"/>
      <c r="AL59" s="3">
        <v>0</v>
      </c>
      <c r="AM59" s="3"/>
      <c r="AN59" s="3">
        <v>0</v>
      </c>
      <c r="AO59" s="3"/>
      <c r="AP59" s="3">
        <v>376941</v>
      </c>
      <c r="AQ59" s="3"/>
      <c r="AR59" s="3">
        <v>42858</v>
      </c>
      <c r="AS59" s="3"/>
      <c r="AT59" s="3">
        <v>22590</v>
      </c>
      <c r="AU59" s="3"/>
      <c r="AV59" s="3">
        <v>0</v>
      </c>
      <c r="AW59" s="3"/>
      <c r="AX59" s="3">
        <v>0</v>
      </c>
      <c r="AY59" s="3"/>
      <c r="AZ59" s="3">
        <v>0</v>
      </c>
      <c r="BA59" s="3"/>
      <c r="BB59" s="3">
        <f t="shared" si="10"/>
        <v>18374087</v>
      </c>
      <c r="BC59" s="3"/>
      <c r="BD59" s="3">
        <v>438500</v>
      </c>
      <c r="BE59" s="3"/>
      <c r="BF59" s="3">
        <v>0</v>
      </c>
      <c r="BG59" s="3"/>
      <c r="BH59" s="3">
        <v>0</v>
      </c>
      <c r="BI59" s="3"/>
      <c r="BJ59" s="3">
        <v>0</v>
      </c>
      <c r="BK59" s="3" t="s">
        <v>224</v>
      </c>
      <c r="BM59" s="16" t="s">
        <v>183</v>
      </c>
      <c r="BN59" s="3"/>
      <c r="BO59" s="3">
        <f t="shared" si="11"/>
        <v>18812587</v>
      </c>
      <c r="BP59" s="3"/>
      <c r="BQ59" s="3">
        <f>GenRev!AW59-BO59</f>
        <v>-1840824</v>
      </c>
      <c r="BR59" s="3"/>
      <c r="BS59" s="3">
        <v>4193363</v>
      </c>
      <c r="BT59" s="3"/>
      <c r="BU59" s="3">
        <v>0</v>
      </c>
      <c r="BV59" s="3"/>
      <c r="BW59" s="3">
        <f t="shared" si="2"/>
        <v>2352539</v>
      </c>
      <c r="BX59" s="3"/>
      <c r="BY59" s="17">
        <f>+BW59-GenBS!AE59</f>
        <v>0</v>
      </c>
      <c r="CB59" s="3"/>
      <c r="CC59" s="3" t="str">
        <f t="shared" si="12"/>
        <v>Upper Valley JVSD</v>
      </c>
      <c r="CD59" s="3" t="b">
        <f t="shared" si="13"/>
        <v>1</v>
      </c>
      <c r="CE59" s="3" t="b">
        <f t="shared" si="14"/>
        <v>1</v>
      </c>
      <c r="CF59" s="3" t="str">
        <f>GenRev!A59</f>
        <v>Upper Valley JVSD</v>
      </c>
      <c r="CG59" s="16" t="b">
        <f t="shared" si="15"/>
        <v>1</v>
      </c>
      <c r="CI59" s="3" t="str">
        <f t="shared" si="16"/>
        <v>Miami</v>
      </c>
      <c r="CJ59" s="16" t="b">
        <f t="shared" si="17"/>
        <v>1</v>
      </c>
      <c r="CK59" s="16" t="b">
        <f t="shared" si="18"/>
        <v>1</v>
      </c>
      <c r="CM59" s="16" t="b">
        <f>C59=GenRev!C59</f>
        <v>1</v>
      </c>
    </row>
    <row r="60" spans="1:91" s="16" customFormat="1">
      <c r="A60" s="3" t="s">
        <v>261</v>
      </c>
      <c r="C60" s="16" t="s">
        <v>195</v>
      </c>
      <c r="E60" s="16">
        <v>51458</v>
      </c>
      <c r="G60" s="3">
        <v>149018</v>
      </c>
      <c r="H60" s="3"/>
      <c r="I60" s="3">
        <v>134826</v>
      </c>
      <c r="J60" s="3"/>
      <c r="K60" s="3">
        <v>7990930</v>
      </c>
      <c r="L60" s="3"/>
      <c r="M60" s="32">
        <v>0</v>
      </c>
      <c r="N60" s="3"/>
      <c r="O60" s="3">
        <v>0</v>
      </c>
      <c r="P60" s="3"/>
      <c r="Q60" s="3">
        <v>495011</v>
      </c>
      <c r="R60" s="3"/>
      <c r="S60" s="3">
        <v>657243</v>
      </c>
      <c r="T60" s="3"/>
      <c r="U60" s="3">
        <v>95192</v>
      </c>
      <c r="V60" s="3"/>
      <c r="W60" s="3">
        <v>752665</v>
      </c>
      <c r="X60" s="3"/>
      <c r="Y60" s="3">
        <v>499531</v>
      </c>
      <c r="Z60" s="3"/>
      <c r="AA60" s="3">
        <v>0</v>
      </c>
      <c r="AB60" s="3"/>
      <c r="AC60" s="3">
        <v>1336521</v>
      </c>
      <c r="AD60" s="3" t="s">
        <v>261</v>
      </c>
      <c r="AF60" s="16" t="s">
        <v>195</v>
      </c>
      <c r="AH60" s="3">
        <v>70979</v>
      </c>
      <c r="AI60" s="3"/>
      <c r="AJ60" s="3">
        <v>0</v>
      </c>
      <c r="AK60" s="3"/>
      <c r="AL60" s="3">
        <v>0</v>
      </c>
      <c r="AM60" s="3"/>
      <c r="AN60" s="3">
        <v>0</v>
      </c>
      <c r="AO60" s="3"/>
      <c r="AP60" s="3">
        <v>0</v>
      </c>
      <c r="AQ60" s="3"/>
      <c r="AR60" s="3">
        <v>8736</v>
      </c>
      <c r="AS60" s="3"/>
      <c r="AT60" s="3">
        <v>0</v>
      </c>
      <c r="AU60" s="3"/>
      <c r="AV60" s="3">
        <v>0</v>
      </c>
      <c r="AW60" s="3"/>
      <c r="AX60" s="3">
        <v>0</v>
      </c>
      <c r="AY60" s="3"/>
      <c r="AZ60" s="3">
        <v>109539</v>
      </c>
      <c r="BA60" s="3"/>
      <c r="BB60" s="3">
        <f t="shared" si="10"/>
        <v>12300191</v>
      </c>
      <c r="BC60" s="3"/>
      <c r="BD60" s="3">
        <v>1505100</v>
      </c>
      <c r="BE60" s="3"/>
      <c r="BF60" s="3">
        <v>0</v>
      </c>
      <c r="BG60" s="3"/>
      <c r="BH60" s="3">
        <v>0</v>
      </c>
      <c r="BI60" s="3"/>
      <c r="BJ60" s="3">
        <v>0</v>
      </c>
      <c r="BK60" s="3" t="s">
        <v>261</v>
      </c>
      <c r="BM60" s="16" t="s">
        <v>195</v>
      </c>
      <c r="BN60" s="3"/>
      <c r="BO60" s="3">
        <f t="shared" si="11"/>
        <v>13805291</v>
      </c>
      <c r="BP60" s="3"/>
      <c r="BQ60" s="3">
        <f>GenRev!AW60-BO60</f>
        <v>799462</v>
      </c>
      <c r="BR60" s="3"/>
      <c r="BS60" s="3">
        <v>5211079</v>
      </c>
      <c r="BT60" s="3"/>
      <c r="BU60" s="3">
        <v>0</v>
      </c>
      <c r="BV60" s="3"/>
      <c r="BW60" s="3">
        <f t="shared" si="2"/>
        <v>6010541</v>
      </c>
      <c r="BX60" s="3"/>
      <c r="BY60" s="17">
        <f>+BW60-GenBS!AE60</f>
        <v>0</v>
      </c>
      <c r="CB60" s="32"/>
      <c r="CC60" s="3" t="str">
        <f t="shared" si="12"/>
        <v>Vanguard-Sentinel Career Center</v>
      </c>
      <c r="CD60" s="3" t="b">
        <f t="shared" si="13"/>
        <v>1</v>
      </c>
      <c r="CE60" s="3" t="b">
        <f t="shared" si="14"/>
        <v>1</v>
      </c>
      <c r="CF60" s="3" t="str">
        <f>GenRev!A60</f>
        <v>Vanguard-Sentinel Career Center</v>
      </c>
      <c r="CG60" s="16" t="b">
        <f t="shared" si="15"/>
        <v>1</v>
      </c>
      <c r="CI60" s="3" t="str">
        <f t="shared" si="16"/>
        <v>Sandusky</v>
      </c>
      <c r="CJ60" s="16" t="b">
        <f t="shared" si="17"/>
        <v>1</v>
      </c>
      <c r="CK60" s="16" t="b">
        <f t="shared" si="18"/>
        <v>1</v>
      </c>
      <c r="CM60" s="16" t="b">
        <f>C60=GenRev!C60</f>
        <v>1</v>
      </c>
    </row>
    <row r="61" spans="1:91" s="16" customFormat="1">
      <c r="A61" s="3" t="s">
        <v>262</v>
      </c>
      <c r="C61" s="16" t="s">
        <v>204</v>
      </c>
      <c r="E61" s="16">
        <v>51672</v>
      </c>
      <c r="G61" s="3">
        <v>0</v>
      </c>
      <c r="H61" s="3"/>
      <c r="I61" s="3">
        <v>0</v>
      </c>
      <c r="J61" s="3"/>
      <c r="K61" s="3">
        <v>4700463</v>
      </c>
      <c r="L61" s="3"/>
      <c r="M61" s="32">
        <v>0</v>
      </c>
      <c r="N61" s="3"/>
      <c r="O61" s="3">
        <v>0</v>
      </c>
      <c r="P61" s="3"/>
      <c r="Q61" s="3">
        <v>368556</v>
      </c>
      <c r="R61" s="3"/>
      <c r="S61" s="3">
        <v>253240</v>
      </c>
      <c r="T61" s="3"/>
      <c r="U61" s="3">
        <v>97243</v>
      </c>
      <c r="V61" s="3"/>
      <c r="W61" s="3">
        <v>400366</v>
      </c>
      <c r="X61" s="3"/>
      <c r="Y61" s="3">
        <v>303464</v>
      </c>
      <c r="Z61" s="3"/>
      <c r="AA61" s="3">
        <v>17935</v>
      </c>
      <c r="AB61" s="3"/>
      <c r="AC61" s="3">
        <v>596630</v>
      </c>
      <c r="AD61" s="3" t="s">
        <v>262</v>
      </c>
      <c r="AF61" s="16" t="s">
        <v>204</v>
      </c>
      <c r="AH61" s="3">
        <v>1981</v>
      </c>
      <c r="AI61" s="3"/>
      <c r="AJ61" s="3">
        <v>343732</v>
      </c>
      <c r="AK61" s="3"/>
      <c r="AL61" s="3">
        <v>0</v>
      </c>
      <c r="AM61" s="3"/>
      <c r="AN61" s="3">
        <v>0</v>
      </c>
      <c r="AO61" s="3"/>
      <c r="AP61" s="3">
        <v>0</v>
      </c>
      <c r="AQ61" s="3"/>
      <c r="AR61" s="3">
        <v>44879</v>
      </c>
      <c r="AS61" s="3"/>
      <c r="AT61" s="3">
        <v>0</v>
      </c>
      <c r="AU61" s="3"/>
      <c r="AV61" s="3">
        <v>0</v>
      </c>
      <c r="AW61" s="3"/>
      <c r="AX61" s="3">
        <v>0</v>
      </c>
      <c r="AY61" s="3"/>
      <c r="AZ61" s="3">
        <v>0</v>
      </c>
      <c r="BA61" s="3"/>
      <c r="BB61" s="3">
        <f t="shared" si="10"/>
        <v>7128489</v>
      </c>
      <c r="BC61" s="3"/>
      <c r="BD61" s="3">
        <v>340040</v>
      </c>
      <c r="BE61" s="3"/>
      <c r="BF61" s="3">
        <v>0</v>
      </c>
      <c r="BG61" s="3"/>
      <c r="BH61" s="3">
        <v>0</v>
      </c>
      <c r="BI61" s="3"/>
      <c r="BJ61" s="3">
        <v>0</v>
      </c>
      <c r="BK61" s="3" t="s">
        <v>262</v>
      </c>
      <c r="BM61" s="16" t="s">
        <v>204</v>
      </c>
      <c r="BN61" s="3"/>
      <c r="BO61" s="3">
        <f t="shared" si="11"/>
        <v>7468529</v>
      </c>
      <c r="BP61" s="3"/>
      <c r="BQ61" s="3">
        <f>GenRev!AW61-BO61</f>
        <v>468946</v>
      </c>
      <c r="BR61" s="3"/>
      <c r="BS61" s="3">
        <v>2445412</v>
      </c>
      <c r="BT61" s="3"/>
      <c r="BU61" s="3">
        <v>0</v>
      </c>
      <c r="BV61" s="3"/>
      <c r="BW61" s="3">
        <f t="shared" si="2"/>
        <v>2914358</v>
      </c>
      <c r="BX61" s="3"/>
      <c r="BY61" s="17">
        <f>+BW61-GenBS!AE61</f>
        <v>0</v>
      </c>
      <c r="CB61" s="3"/>
      <c r="CC61" s="3" t="str">
        <f t="shared" si="12"/>
        <v>Vantage Career Center</v>
      </c>
      <c r="CD61" s="3" t="b">
        <f t="shared" si="13"/>
        <v>1</v>
      </c>
      <c r="CE61" s="3" t="b">
        <f t="shared" si="14"/>
        <v>1</v>
      </c>
      <c r="CF61" s="3" t="str">
        <f>GenRev!A61</f>
        <v>Vantage Career Center</v>
      </c>
      <c r="CG61" s="16" t="b">
        <f t="shared" si="15"/>
        <v>1</v>
      </c>
      <c r="CI61" s="3" t="str">
        <f t="shared" si="16"/>
        <v>Van Wert</v>
      </c>
      <c r="CJ61" s="16" t="b">
        <f t="shared" si="17"/>
        <v>1</v>
      </c>
      <c r="CK61" s="16" t="b">
        <f t="shared" si="18"/>
        <v>1</v>
      </c>
      <c r="CM61" s="16" t="b">
        <f>C61=GenRev!C61</f>
        <v>1</v>
      </c>
    </row>
    <row r="62" spans="1:91" s="16" customFormat="1">
      <c r="A62" s="3" t="s">
        <v>228</v>
      </c>
      <c r="C62" s="16" t="s">
        <v>205</v>
      </c>
      <c r="E62" s="16">
        <v>51474</v>
      </c>
      <c r="G62" s="3">
        <v>0</v>
      </c>
      <c r="H62" s="3"/>
      <c r="I62" s="3">
        <v>158692</v>
      </c>
      <c r="J62" s="3"/>
      <c r="K62" s="3">
        <v>7132954</v>
      </c>
      <c r="L62" s="3"/>
      <c r="M62" s="32">
        <v>4310</v>
      </c>
      <c r="N62" s="3"/>
      <c r="O62" s="3">
        <v>0</v>
      </c>
      <c r="P62" s="3"/>
      <c r="Q62" s="3">
        <v>867337</v>
      </c>
      <c r="R62" s="3"/>
      <c r="S62" s="3">
        <v>342616</v>
      </c>
      <c r="T62" s="3"/>
      <c r="U62" s="3">
        <v>17732</v>
      </c>
      <c r="V62" s="3"/>
      <c r="W62" s="3">
        <v>989144</v>
      </c>
      <c r="X62" s="3"/>
      <c r="Y62" s="3">
        <v>500898</v>
      </c>
      <c r="Z62" s="3"/>
      <c r="AA62" s="3">
        <v>65856</v>
      </c>
      <c r="AB62" s="3"/>
      <c r="AC62" s="3">
        <v>976853</v>
      </c>
      <c r="AD62" s="3" t="s">
        <v>228</v>
      </c>
      <c r="AF62" s="16" t="s">
        <v>205</v>
      </c>
      <c r="AH62" s="3">
        <v>114863</v>
      </c>
      <c r="AI62" s="3"/>
      <c r="AJ62" s="3">
        <v>827023</v>
      </c>
      <c r="AK62" s="3"/>
      <c r="AL62" s="3">
        <v>0</v>
      </c>
      <c r="AM62" s="3"/>
      <c r="AN62" s="3">
        <v>0</v>
      </c>
      <c r="AO62" s="3"/>
      <c r="AP62" s="3">
        <v>13828</v>
      </c>
      <c r="AQ62" s="3"/>
      <c r="AR62" s="3">
        <v>88482</v>
      </c>
      <c r="AS62" s="3"/>
      <c r="AT62" s="3">
        <v>665147</v>
      </c>
      <c r="AU62" s="3"/>
      <c r="AV62" s="3">
        <v>0</v>
      </c>
      <c r="AW62" s="3"/>
      <c r="AX62" s="3">
        <v>6703</v>
      </c>
      <c r="AY62" s="3"/>
      <c r="AZ62" s="3">
        <v>31984</v>
      </c>
      <c r="BA62" s="3"/>
      <c r="BB62" s="3">
        <f t="shared" si="10"/>
        <v>12804422</v>
      </c>
      <c r="BC62" s="3"/>
      <c r="BD62" s="3">
        <v>1061033</v>
      </c>
      <c r="BE62" s="3"/>
      <c r="BF62" s="3">
        <v>0</v>
      </c>
      <c r="BG62" s="3"/>
      <c r="BH62" s="3">
        <v>0</v>
      </c>
      <c r="BI62" s="3"/>
      <c r="BJ62" s="3">
        <v>0</v>
      </c>
      <c r="BK62" s="3" t="s">
        <v>228</v>
      </c>
      <c r="BM62" s="16" t="s">
        <v>205</v>
      </c>
      <c r="BN62" s="3"/>
      <c r="BO62" s="3">
        <f t="shared" si="11"/>
        <v>13865455</v>
      </c>
      <c r="BP62" s="3"/>
      <c r="BQ62" s="3">
        <f>GenRev!AW62-BO62</f>
        <v>2222486</v>
      </c>
      <c r="BR62" s="3"/>
      <c r="BS62" s="3">
        <v>9667756</v>
      </c>
      <c r="BT62" s="3"/>
      <c r="BU62" s="3">
        <v>0</v>
      </c>
      <c r="BV62" s="3"/>
      <c r="BW62" s="3">
        <f t="shared" si="2"/>
        <v>11890242</v>
      </c>
      <c r="BX62" s="3"/>
      <c r="BY62" s="17">
        <f>+BW62-GenBS!AE62</f>
        <v>0</v>
      </c>
      <c r="CB62" s="3"/>
      <c r="CC62" s="3" t="str">
        <f t="shared" si="12"/>
        <v>Warren County JVSD</v>
      </c>
      <c r="CD62" s="3" t="b">
        <f t="shared" si="13"/>
        <v>1</v>
      </c>
      <c r="CE62" s="3" t="b">
        <f t="shared" si="14"/>
        <v>1</v>
      </c>
      <c r="CF62" s="3" t="str">
        <f>GenRev!A62</f>
        <v>Warren County JVSD</v>
      </c>
      <c r="CG62" s="16" t="b">
        <f t="shared" si="15"/>
        <v>1</v>
      </c>
      <c r="CI62" s="3" t="str">
        <f t="shared" si="16"/>
        <v>Warren</v>
      </c>
      <c r="CJ62" s="16" t="b">
        <f t="shared" si="17"/>
        <v>1</v>
      </c>
      <c r="CK62" s="16" t="b">
        <f t="shared" si="18"/>
        <v>1</v>
      </c>
      <c r="CM62" s="16" t="b">
        <f>C62=GenRev!C62</f>
        <v>1</v>
      </c>
    </row>
    <row r="63" spans="1:91" s="16" customFormat="1">
      <c r="A63" s="3" t="s">
        <v>276</v>
      </c>
      <c r="C63" s="16" t="s">
        <v>206</v>
      </c>
      <c r="E63" s="16">
        <v>51698</v>
      </c>
      <c r="G63" s="3">
        <v>810487</v>
      </c>
      <c r="H63" s="3"/>
      <c r="I63" s="3">
        <v>0</v>
      </c>
      <c r="J63" s="3"/>
      <c r="K63" s="3">
        <v>2067125</v>
      </c>
      <c r="L63" s="3"/>
      <c r="M63" s="32">
        <v>0</v>
      </c>
      <c r="N63" s="3"/>
      <c r="O63" s="3">
        <v>0</v>
      </c>
      <c r="P63" s="3"/>
      <c r="Q63" s="3">
        <v>128227</v>
      </c>
      <c r="R63" s="3"/>
      <c r="S63" s="3">
        <v>276480</v>
      </c>
      <c r="T63" s="3"/>
      <c r="U63" s="3">
        <v>34594</v>
      </c>
      <c r="V63" s="3"/>
      <c r="W63" s="3">
        <v>478145</v>
      </c>
      <c r="X63" s="3"/>
      <c r="Y63" s="3">
        <v>331694</v>
      </c>
      <c r="Z63" s="3"/>
      <c r="AA63" s="3">
        <v>50512</v>
      </c>
      <c r="AB63" s="3"/>
      <c r="AC63" s="3">
        <v>681287</v>
      </c>
      <c r="AD63" s="3" t="s">
        <v>276</v>
      </c>
      <c r="AF63" s="16" t="s">
        <v>206</v>
      </c>
      <c r="AH63" s="3">
        <v>11715</v>
      </c>
      <c r="AI63" s="3"/>
      <c r="AJ63" s="3">
        <v>299368</v>
      </c>
      <c r="AK63" s="3"/>
      <c r="AL63" s="3">
        <v>0</v>
      </c>
      <c r="AM63" s="3"/>
      <c r="AN63" s="3">
        <v>0</v>
      </c>
      <c r="AO63" s="3"/>
      <c r="AP63" s="3">
        <v>0</v>
      </c>
      <c r="AQ63" s="3"/>
      <c r="AR63" s="3">
        <v>4488</v>
      </c>
      <c r="AS63" s="3"/>
      <c r="AT63" s="3">
        <v>38812</v>
      </c>
      <c r="AU63" s="3"/>
      <c r="AV63" s="3">
        <v>0</v>
      </c>
      <c r="AW63" s="3"/>
      <c r="AX63" s="3">
        <v>108464</v>
      </c>
      <c r="AY63" s="3"/>
      <c r="AZ63" s="3">
        <v>60756</v>
      </c>
      <c r="BA63" s="3"/>
      <c r="BB63" s="3">
        <f t="shared" si="10"/>
        <v>5382154</v>
      </c>
      <c r="BC63" s="3"/>
      <c r="BD63" s="3">
        <v>9362</v>
      </c>
      <c r="BE63" s="3"/>
      <c r="BF63" s="3">
        <v>0</v>
      </c>
      <c r="BG63" s="3"/>
      <c r="BH63" s="3">
        <v>0</v>
      </c>
      <c r="BI63" s="3"/>
      <c r="BJ63" s="3">
        <v>0</v>
      </c>
      <c r="BK63" s="3" t="s">
        <v>276</v>
      </c>
      <c r="BM63" s="16" t="s">
        <v>206</v>
      </c>
      <c r="BN63" s="3"/>
      <c r="BO63" s="3">
        <f t="shared" si="11"/>
        <v>5391516</v>
      </c>
      <c r="BP63" s="3"/>
      <c r="BQ63" s="3">
        <f>GenRev!AW63-BO63</f>
        <v>351937</v>
      </c>
      <c r="BR63" s="3"/>
      <c r="BS63" s="3">
        <v>2911326</v>
      </c>
      <c r="BT63" s="3"/>
      <c r="BU63" s="3">
        <v>0</v>
      </c>
      <c r="BV63" s="3"/>
      <c r="BW63" s="3">
        <f t="shared" si="2"/>
        <v>3263263</v>
      </c>
      <c r="BX63" s="3"/>
      <c r="BY63" s="17">
        <f>+BW63-GenBS!AE63</f>
        <v>0</v>
      </c>
      <c r="CB63" s="3"/>
      <c r="CC63" s="3" t="str">
        <f t="shared" si="12"/>
        <v>Washington County Career Center</v>
      </c>
      <c r="CD63" s="3" t="b">
        <f t="shared" si="13"/>
        <v>1</v>
      </c>
      <c r="CE63" s="3" t="b">
        <f t="shared" si="14"/>
        <v>1</v>
      </c>
      <c r="CF63" s="3" t="str">
        <f>GenRev!A63</f>
        <v>Washington County Career Center</v>
      </c>
      <c r="CG63" s="16" t="b">
        <f t="shared" si="15"/>
        <v>1</v>
      </c>
      <c r="CI63" s="3" t="str">
        <f t="shared" si="16"/>
        <v>Washington</v>
      </c>
      <c r="CJ63" s="16" t="b">
        <f t="shared" si="17"/>
        <v>1</v>
      </c>
      <c r="CK63" s="16" t="b">
        <f t="shared" si="18"/>
        <v>1</v>
      </c>
      <c r="CM63" s="16" t="b">
        <f>C63=GenRev!C63</f>
        <v>1</v>
      </c>
    </row>
    <row r="64" spans="1:91" s="16" customFormat="1">
      <c r="A64" s="3" t="s">
        <v>263</v>
      </c>
      <c r="C64" s="16" t="s">
        <v>208</v>
      </c>
      <c r="E64" s="16">
        <v>51714</v>
      </c>
      <c r="G64" s="3">
        <v>1632936</v>
      </c>
      <c r="H64" s="3"/>
      <c r="I64" s="3">
        <v>1376</v>
      </c>
      <c r="J64" s="3"/>
      <c r="K64" s="3">
        <v>5335990</v>
      </c>
      <c r="L64" s="3"/>
      <c r="M64" s="32">
        <v>24193</v>
      </c>
      <c r="N64" s="3"/>
      <c r="O64" s="3">
        <v>0</v>
      </c>
      <c r="P64" s="3"/>
      <c r="Q64" s="3">
        <v>447012</v>
      </c>
      <c r="R64" s="3"/>
      <c r="S64" s="3">
        <v>1439264</v>
      </c>
      <c r="T64" s="3"/>
      <c r="U64" s="3">
        <v>55289</v>
      </c>
      <c r="V64" s="3"/>
      <c r="W64" s="3">
        <v>741131</v>
      </c>
      <c r="X64" s="3"/>
      <c r="Y64" s="3">
        <v>419892</v>
      </c>
      <c r="Z64" s="3"/>
      <c r="AA64" s="3">
        <v>0</v>
      </c>
      <c r="AB64" s="3"/>
      <c r="AC64" s="3">
        <v>762866</v>
      </c>
      <c r="AD64" s="3" t="s">
        <v>263</v>
      </c>
      <c r="AF64" s="16" t="s">
        <v>208</v>
      </c>
      <c r="AH64" s="3">
        <v>21359</v>
      </c>
      <c r="AI64" s="3"/>
      <c r="AJ64" s="3">
        <v>0</v>
      </c>
      <c r="AK64" s="3"/>
      <c r="AL64" s="3">
        <v>0</v>
      </c>
      <c r="AM64" s="3"/>
      <c r="AN64" s="3">
        <v>0</v>
      </c>
      <c r="AO64" s="3"/>
      <c r="AP64" s="3">
        <v>939</v>
      </c>
      <c r="AQ64" s="3"/>
      <c r="AR64" s="3">
        <v>0</v>
      </c>
      <c r="AS64" s="3"/>
      <c r="AT64" s="3">
        <v>0</v>
      </c>
      <c r="AU64" s="3"/>
      <c r="AV64" s="3">
        <v>0</v>
      </c>
      <c r="AW64" s="3"/>
      <c r="AX64" s="3">
        <v>0</v>
      </c>
      <c r="AY64" s="3"/>
      <c r="AZ64" s="3">
        <v>0</v>
      </c>
      <c r="BA64" s="3"/>
      <c r="BB64" s="3">
        <f t="shared" si="10"/>
        <v>10882247</v>
      </c>
      <c r="BC64" s="3"/>
      <c r="BD64" s="3">
        <v>164757</v>
      </c>
      <c r="BE64" s="3"/>
      <c r="BF64" s="3">
        <v>0</v>
      </c>
      <c r="BG64" s="3"/>
      <c r="BH64" s="3">
        <v>0</v>
      </c>
      <c r="BI64" s="3"/>
      <c r="BJ64" s="3">
        <v>0</v>
      </c>
      <c r="BK64" s="3" t="s">
        <v>263</v>
      </c>
      <c r="BM64" s="16" t="s">
        <v>208</v>
      </c>
      <c r="BN64" s="3"/>
      <c r="BO64" s="3">
        <f t="shared" si="11"/>
        <v>11047004</v>
      </c>
      <c r="BP64" s="3"/>
      <c r="BQ64" s="3">
        <f>GenRev!AW64-BO64</f>
        <v>872638</v>
      </c>
      <c r="BR64" s="3"/>
      <c r="BS64" s="3">
        <v>4813339</v>
      </c>
      <c r="BT64" s="3"/>
      <c r="BU64" s="3">
        <v>0</v>
      </c>
      <c r="BV64" s="3"/>
      <c r="BW64" s="3">
        <f t="shared" si="2"/>
        <v>5685977</v>
      </c>
      <c r="BX64" s="3"/>
      <c r="BY64" s="17">
        <f>+BW64-GenBS!AE64</f>
        <v>0</v>
      </c>
      <c r="CB64" s="32"/>
      <c r="CC64" s="3" t="str">
        <f t="shared" si="12"/>
        <v>Wayne County JVSD</v>
      </c>
      <c r="CD64" s="3" t="b">
        <f t="shared" si="13"/>
        <v>1</v>
      </c>
      <c r="CE64" s="3" t="b">
        <f t="shared" si="14"/>
        <v>1</v>
      </c>
      <c r="CF64" s="3" t="str">
        <f>GenRev!A64</f>
        <v>Wayne County JVSD</v>
      </c>
      <c r="CG64" s="16" t="b">
        <f t="shared" si="15"/>
        <v>1</v>
      </c>
      <c r="CI64" s="3" t="str">
        <f t="shared" si="16"/>
        <v>Wayne</v>
      </c>
      <c r="CJ64" s="16" t="b">
        <f t="shared" si="17"/>
        <v>1</v>
      </c>
      <c r="CK64" s="16" t="b">
        <f t="shared" si="18"/>
        <v>1</v>
      </c>
      <c r="CM64" s="16" t="b">
        <f>C64=GenRev!C64</f>
        <v>1</v>
      </c>
    </row>
    <row r="65" spans="1:91" s="16" customFormat="1">
      <c r="A65" s="3"/>
      <c r="G65" s="3"/>
      <c r="H65" s="3"/>
      <c r="I65" s="3"/>
      <c r="J65" s="3"/>
      <c r="K65" s="3"/>
      <c r="L65" s="3"/>
      <c r="M65" s="3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17"/>
      <c r="CC65" s="3"/>
      <c r="CD65" s="3"/>
      <c r="CE65" s="3"/>
      <c r="CF65" s="3"/>
      <c r="CI65" s="3"/>
    </row>
    <row r="66" spans="1:91" s="16" customForma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64"/>
      <c r="M66" s="32"/>
      <c r="AC66" s="39" t="s">
        <v>266</v>
      </c>
      <c r="AH66" s="3"/>
      <c r="AI66" s="3"/>
      <c r="AJ66" s="3"/>
      <c r="AK66" s="3"/>
      <c r="AL66" s="3"/>
      <c r="AM66" s="3"/>
      <c r="AN66" s="17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C66" s="17"/>
      <c r="BD66" s="3"/>
      <c r="BE66" s="3"/>
      <c r="BF66" s="3"/>
      <c r="BG66" s="3"/>
      <c r="BH66" s="3"/>
      <c r="BI66" s="3"/>
      <c r="BJ66" s="17" t="s">
        <v>266</v>
      </c>
      <c r="BO66" s="3"/>
      <c r="BP66" s="3"/>
      <c r="BQ66" s="3"/>
      <c r="BR66" s="3"/>
      <c r="BS66" s="3"/>
      <c r="BT66" s="3"/>
      <c r="BU66" s="3"/>
      <c r="BV66" s="3"/>
      <c r="BW66" s="17" t="s">
        <v>266</v>
      </c>
      <c r="CC66" s="3"/>
      <c r="CD66" s="3"/>
      <c r="CE66" s="3"/>
      <c r="CF66" s="3"/>
      <c r="CI66" s="3"/>
    </row>
    <row r="67" spans="1:91" s="16" customFormat="1">
      <c r="A67" s="40" t="s">
        <v>265</v>
      </c>
      <c r="M67" s="32"/>
      <c r="AD67" s="40" t="s">
        <v>265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40" t="s">
        <v>265</v>
      </c>
      <c r="BO67" s="3"/>
      <c r="BP67" s="3"/>
      <c r="BQ67" s="3"/>
      <c r="BR67" s="3"/>
      <c r="BS67" s="3"/>
      <c r="BT67" s="3"/>
      <c r="BU67" s="3"/>
      <c r="BV67" s="3"/>
      <c r="BW67" s="3"/>
      <c r="CC67" s="3"/>
      <c r="CD67" s="3"/>
      <c r="CE67" s="3"/>
      <c r="CF67" s="3"/>
      <c r="CI67" s="3"/>
    </row>
    <row r="68" spans="1:91" s="16" customFormat="1">
      <c r="A68" s="40"/>
      <c r="M68" s="32"/>
      <c r="AD68" s="40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40"/>
      <c r="BO68" s="3"/>
      <c r="BP68" s="3"/>
      <c r="BQ68" s="3"/>
      <c r="BR68" s="3"/>
      <c r="BS68" s="3"/>
      <c r="BT68" s="3"/>
      <c r="BU68" s="3"/>
      <c r="BV68" s="3"/>
      <c r="BW68" s="3"/>
      <c r="CC68" s="3"/>
      <c r="CD68" s="3"/>
      <c r="CE68" s="3"/>
      <c r="CF68" s="3"/>
      <c r="CI68" s="3"/>
    </row>
    <row r="69" spans="1:91" s="68" customFormat="1" hidden="1">
      <c r="A69" s="65" t="s">
        <v>414</v>
      </c>
      <c r="B69" s="65"/>
      <c r="C69" s="65" t="s">
        <v>272</v>
      </c>
      <c r="E69" s="82">
        <v>45849</v>
      </c>
      <c r="G69" s="65"/>
      <c r="H69" s="65"/>
      <c r="I69" s="65"/>
      <c r="J69" s="65"/>
      <c r="K69" s="65"/>
      <c r="L69" s="65"/>
      <c r="M69" s="80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 t="s">
        <v>414</v>
      </c>
      <c r="AF69" s="65" t="s">
        <v>272</v>
      </c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>
        <f>SUM(G69:BA69)</f>
        <v>0</v>
      </c>
      <c r="BC69" s="65"/>
      <c r="BD69" s="65"/>
      <c r="BE69" s="65"/>
      <c r="BF69" s="65"/>
      <c r="BG69" s="65"/>
      <c r="BH69" s="65"/>
      <c r="BI69" s="65"/>
      <c r="BJ69" s="65"/>
      <c r="BK69" s="65" t="s">
        <v>414</v>
      </c>
      <c r="BM69" s="65" t="s">
        <v>272</v>
      </c>
      <c r="BO69" s="65">
        <f t="shared" ref="BO69:BO100" si="19">+BJ69+BF69+BD69+BB69</f>
        <v>0</v>
      </c>
      <c r="BP69" s="65"/>
      <c r="BQ69" s="65">
        <f>GenRev!AW69-BO69</f>
        <v>0</v>
      </c>
      <c r="BR69" s="65"/>
      <c r="BS69" s="65"/>
      <c r="BT69" s="65"/>
      <c r="BU69" s="65"/>
      <c r="BV69" s="65"/>
      <c r="BW69" s="65">
        <f>+BS69+BQ69+BU69</f>
        <v>0</v>
      </c>
      <c r="BY69" s="83">
        <f>+BW69-GenBS!AE69</f>
        <v>0</v>
      </c>
      <c r="CB69" s="66" t="s">
        <v>413</v>
      </c>
      <c r="CC69" s="65" t="str">
        <f t="shared" ref="CC69:CC100" si="20">A69</f>
        <v>Allen County Educ Srv Ctr (CASH)</v>
      </c>
      <c r="CD69" s="65" t="b">
        <f t="shared" ref="CD69:CD100" si="21">A69=AD69</f>
        <v>1</v>
      </c>
      <c r="CE69" s="65" t="b">
        <f t="shared" ref="CE69:CE100" si="22">A69=BK69</f>
        <v>1</v>
      </c>
      <c r="CF69" s="65" t="str">
        <f>GenRev!A69</f>
        <v>Allen County Educ Srv Ctr (CASH)</v>
      </c>
      <c r="CG69" s="66" t="b">
        <f t="shared" ref="CG69:CG100" si="23">CC69=CF69</f>
        <v>1</v>
      </c>
      <c r="CI69" s="65" t="str">
        <f t="shared" ref="CI69:CI100" si="24">C69</f>
        <v>Allen</v>
      </c>
      <c r="CJ69" s="66" t="b">
        <f t="shared" ref="CJ69:CJ100" si="25">C69=AF69</f>
        <v>1</v>
      </c>
      <c r="CK69" s="66" t="b">
        <f t="shared" ref="CK69:CK100" si="26">C69=BM69</f>
        <v>1</v>
      </c>
      <c r="CM69" s="66" t="b">
        <f>C69=GenRev!C69</f>
        <v>1</v>
      </c>
    </row>
    <row r="70" spans="1:91" s="68" customFormat="1" hidden="1">
      <c r="A70" s="65" t="s">
        <v>415</v>
      </c>
      <c r="B70" s="65"/>
      <c r="C70" s="65" t="s">
        <v>147</v>
      </c>
      <c r="E70" s="82"/>
      <c r="G70" s="65"/>
      <c r="H70" s="65"/>
      <c r="I70" s="65"/>
      <c r="J70" s="65"/>
      <c r="K70" s="65"/>
      <c r="L70" s="65"/>
      <c r="M70" s="80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 t="s">
        <v>415</v>
      </c>
      <c r="AE70" s="65"/>
      <c r="AF70" s="65" t="s">
        <v>147</v>
      </c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>
        <f>SUM(B70:BA70)</f>
        <v>0</v>
      </c>
      <c r="BC70" s="65"/>
      <c r="BD70" s="65"/>
      <c r="BE70" s="65"/>
      <c r="BF70" s="65"/>
      <c r="BG70" s="65"/>
      <c r="BH70" s="65"/>
      <c r="BI70" s="65"/>
      <c r="BJ70" s="65"/>
      <c r="BK70" s="65" t="s">
        <v>415</v>
      </c>
      <c r="BL70" s="65"/>
      <c r="BM70" s="65" t="s">
        <v>147</v>
      </c>
      <c r="BN70" s="65"/>
      <c r="BO70" s="65">
        <f t="shared" si="19"/>
        <v>0</v>
      </c>
      <c r="BP70" s="65"/>
      <c r="BQ70" s="65">
        <f>GenRev!AW70-BO70</f>
        <v>0</v>
      </c>
      <c r="BR70" s="65"/>
      <c r="BS70" s="65"/>
      <c r="BT70" s="65"/>
      <c r="BU70" s="65"/>
      <c r="BV70" s="65"/>
      <c r="BW70" s="65">
        <f>+BS70+BQ70+BU70</f>
        <v>0</v>
      </c>
      <c r="BX70" s="65"/>
      <c r="BY70" s="67">
        <f>+BW70-GenBS!AE70</f>
        <v>0</v>
      </c>
      <c r="BZ70" s="66"/>
      <c r="CA70" s="66"/>
      <c r="CB70" s="66" t="s">
        <v>377</v>
      </c>
      <c r="CC70" s="65" t="str">
        <f t="shared" si="20"/>
        <v>Ashtabula County Educ Srv Ctr (CASH)</v>
      </c>
      <c r="CD70" s="65" t="b">
        <f t="shared" si="21"/>
        <v>1</v>
      </c>
      <c r="CE70" s="65" t="b">
        <f t="shared" si="22"/>
        <v>1</v>
      </c>
      <c r="CF70" s="65" t="str">
        <f>GenRev!A70</f>
        <v>Ashtabula County Educ Srv Ctr (CASH)</v>
      </c>
      <c r="CG70" s="66" t="b">
        <f t="shared" si="23"/>
        <v>1</v>
      </c>
      <c r="CI70" s="65" t="str">
        <f t="shared" si="24"/>
        <v>Ashtabula</v>
      </c>
      <c r="CJ70" s="66" t="b">
        <f t="shared" si="25"/>
        <v>1</v>
      </c>
      <c r="CK70" s="66" t="b">
        <f t="shared" si="26"/>
        <v>1</v>
      </c>
      <c r="CM70" s="66" t="b">
        <f>C70=GenRev!C70</f>
        <v>1</v>
      </c>
    </row>
    <row r="71" spans="1:91" s="16" customFormat="1">
      <c r="A71" s="3" t="s">
        <v>151</v>
      </c>
      <c r="C71" s="16" t="s">
        <v>148</v>
      </c>
      <c r="E71" s="16">
        <v>135145</v>
      </c>
      <c r="G71" s="20">
        <v>40092</v>
      </c>
      <c r="H71" s="20"/>
      <c r="I71" s="20">
        <v>2267056</v>
      </c>
      <c r="J71" s="20"/>
      <c r="K71" s="20">
        <v>0</v>
      </c>
      <c r="L71" s="20"/>
      <c r="M71" s="78">
        <v>30856</v>
      </c>
      <c r="N71" s="20"/>
      <c r="O71" s="20">
        <v>0</v>
      </c>
      <c r="P71" s="20"/>
      <c r="Q71" s="20">
        <v>912130</v>
      </c>
      <c r="R71" s="20"/>
      <c r="S71" s="20">
        <v>440635</v>
      </c>
      <c r="T71" s="20"/>
      <c r="U71" s="20">
        <v>81503</v>
      </c>
      <c r="V71" s="20"/>
      <c r="W71" s="20">
        <v>401806</v>
      </c>
      <c r="X71" s="20"/>
      <c r="Y71" s="20">
        <v>367002</v>
      </c>
      <c r="Z71" s="20"/>
      <c r="AA71" s="20">
        <v>0</v>
      </c>
      <c r="AB71" s="20"/>
      <c r="AC71" s="20">
        <v>5733</v>
      </c>
      <c r="AD71" s="3" t="s">
        <v>151</v>
      </c>
      <c r="AE71" s="20"/>
      <c r="AF71" s="20" t="s">
        <v>148</v>
      </c>
      <c r="AG71" s="20"/>
      <c r="AH71" s="20">
        <v>0</v>
      </c>
      <c r="AI71" s="20"/>
      <c r="AJ71" s="20">
        <v>6200</v>
      </c>
      <c r="AK71" s="20"/>
      <c r="AL71" s="20">
        <v>0</v>
      </c>
      <c r="AM71" s="20"/>
      <c r="AN71" s="20">
        <v>0</v>
      </c>
      <c r="AO71" s="20"/>
      <c r="AP71" s="20">
        <v>0</v>
      </c>
      <c r="AQ71" s="20"/>
      <c r="AR71" s="20">
        <v>0</v>
      </c>
      <c r="AS71" s="20"/>
      <c r="AT71" s="20">
        <v>0</v>
      </c>
      <c r="AU71" s="20"/>
      <c r="AV71" s="20">
        <v>0</v>
      </c>
      <c r="AW71" s="20"/>
      <c r="AX71" s="20">
        <v>0</v>
      </c>
      <c r="AY71" s="20"/>
      <c r="AZ71" s="20">
        <v>0</v>
      </c>
      <c r="BA71" s="20"/>
      <c r="BB71" s="20">
        <f>SUM(G71:BA71)</f>
        <v>4553013</v>
      </c>
      <c r="BC71" s="20"/>
      <c r="BD71" s="20">
        <v>0</v>
      </c>
      <c r="BE71" s="20"/>
      <c r="BF71" s="20">
        <v>0</v>
      </c>
      <c r="BG71" s="20"/>
      <c r="BH71" s="20">
        <v>0</v>
      </c>
      <c r="BI71" s="20"/>
      <c r="BJ71" s="20">
        <v>0</v>
      </c>
      <c r="BK71" s="3" t="s">
        <v>151</v>
      </c>
      <c r="BL71" s="20"/>
      <c r="BM71" s="20" t="s">
        <v>148</v>
      </c>
      <c r="BN71" s="20"/>
      <c r="BO71" s="20">
        <f t="shared" si="19"/>
        <v>4553013</v>
      </c>
      <c r="BP71" s="20"/>
      <c r="BQ71" s="20">
        <f>GenRev!AW71-BO71</f>
        <v>91754</v>
      </c>
      <c r="BR71" s="20"/>
      <c r="BS71" s="20">
        <v>398322</v>
      </c>
      <c r="BT71" s="20"/>
      <c r="BU71" s="20">
        <v>0</v>
      </c>
      <c r="BV71" s="20"/>
      <c r="BW71" s="20">
        <f>+BS71+BQ71+BU71</f>
        <v>490076</v>
      </c>
      <c r="BX71" s="20"/>
      <c r="BY71" s="21">
        <f>+BW71-GenBS!AE71</f>
        <v>0</v>
      </c>
      <c r="BZ71" s="20"/>
      <c r="CA71" s="20"/>
      <c r="CC71" s="3" t="str">
        <f t="shared" si="20"/>
        <v>Athens-Meigs Educ Srv Ctr</v>
      </c>
      <c r="CD71" s="3" t="b">
        <f t="shared" si="21"/>
        <v>1</v>
      </c>
      <c r="CE71" s="3" t="b">
        <f t="shared" si="22"/>
        <v>1</v>
      </c>
      <c r="CF71" s="3" t="str">
        <f>GenRev!A71</f>
        <v>Athens-Meigs Educ Srv Ctr</v>
      </c>
      <c r="CG71" s="16" t="b">
        <f t="shared" si="23"/>
        <v>1</v>
      </c>
      <c r="CH71" s="20"/>
      <c r="CI71" s="3" t="str">
        <f t="shared" si="24"/>
        <v>Athens</v>
      </c>
      <c r="CJ71" s="16" t="b">
        <f t="shared" si="25"/>
        <v>1</v>
      </c>
      <c r="CK71" s="16" t="b">
        <f t="shared" si="26"/>
        <v>1</v>
      </c>
      <c r="CM71" s="16" t="b">
        <f>C71=GenRev!C71</f>
        <v>1</v>
      </c>
    </row>
    <row r="72" spans="1:91" s="66" customFormat="1" hidden="1">
      <c r="A72" s="65" t="s">
        <v>416</v>
      </c>
      <c r="B72" s="65"/>
      <c r="C72" s="65" t="s">
        <v>273</v>
      </c>
      <c r="G72" s="65"/>
      <c r="H72" s="65"/>
      <c r="I72" s="65"/>
      <c r="J72" s="65"/>
      <c r="K72" s="65"/>
      <c r="L72" s="65"/>
      <c r="M72" s="80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 t="s">
        <v>416</v>
      </c>
      <c r="AE72" s="65"/>
      <c r="AF72" s="65" t="s">
        <v>273</v>
      </c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>
        <f>SUM(B72:BA72)</f>
        <v>0</v>
      </c>
      <c r="BC72" s="65"/>
      <c r="BD72" s="65"/>
      <c r="BE72" s="65"/>
      <c r="BF72" s="65"/>
      <c r="BG72" s="65"/>
      <c r="BH72" s="65"/>
      <c r="BI72" s="65"/>
      <c r="BJ72" s="65"/>
      <c r="BK72" s="65" t="s">
        <v>416</v>
      </c>
      <c r="BL72" s="65"/>
      <c r="BM72" s="65" t="s">
        <v>273</v>
      </c>
      <c r="BN72" s="65"/>
      <c r="BO72" s="65">
        <f t="shared" si="19"/>
        <v>0</v>
      </c>
      <c r="BP72" s="65"/>
      <c r="BQ72" s="65">
        <f>GenRev!AW72-BO72</f>
        <v>0</v>
      </c>
      <c r="BR72" s="65"/>
      <c r="BS72" s="65"/>
      <c r="BT72" s="65"/>
      <c r="BU72" s="65"/>
      <c r="BV72" s="65"/>
      <c r="BW72" s="65">
        <f>+BS72+BQ72+BU72</f>
        <v>0</v>
      </c>
      <c r="BX72" s="65"/>
      <c r="BY72" s="67">
        <f>+BW72-GenBS!AE72</f>
        <v>0</v>
      </c>
      <c r="CB72" s="66" t="s">
        <v>404</v>
      </c>
      <c r="CC72" s="65" t="str">
        <f t="shared" si="20"/>
        <v>Auglaize County Educ Srv Ctr (CASH)</v>
      </c>
      <c r="CD72" s="65" t="b">
        <f t="shared" si="21"/>
        <v>1</v>
      </c>
      <c r="CE72" s="65" t="b">
        <f t="shared" si="22"/>
        <v>1</v>
      </c>
      <c r="CF72" s="65" t="str">
        <f>GenRev!A72</f>
        <v>Auglaize County Educ Srv Ctr (CASH)</v>
      </c>
      <c r="CG72" s="66" t="b">
        <f t="shared" si="23"/>
        <v>1</v>
      </c>
      <c r="CI72" s="65" t="str">
        <f t="shared" si="24"/>
        <v>Auglaize</v>
      </c>
      <c r="CJ72" s="66" t="b">
        <f t="shared" si="25"/>
        <v>1</v>
      </c>
      <c r="CK72" s="66" t="b">
        <f t="shared" si="26"/>
        <v>1</v>
      </c>
      <c r="CM72" s="66" t="b">
        <f>C72=GenRev!C72</f>
        <v>1</v>
      </c>
    </row>
    <row r="73" spans="1:91" s="16" customFormat="1">
      <c r="A73" s="16" t="s">
        <v>322</v>
      </c>
      <c r="C73" s="16" t="s">
        <v>153</v>
      </c>
      <c r="E73" s="16">
        <v>46029</v>
      </c>
      <c r="G73" s="3">
        <v>435680</v>
      </c>
      <c r="H73" s="3"/>
      <c r="I73" s="3">
        <v>1795350</v>
      </c>
      <c r="J73" s="3"/>
      <c r="K73" s="3">
        <v>0</v>
      </c>
      <c r="L73" s="3"/>
      <c r="M73" s="32">
        <v>0</v>
      </c>
      <c r="N73" s="3"/>
      <c r="O73" s="3">
        <v>0</v>
      </c>
      <c r="P73" s="3"/>
      <c r="Q73" s="3">
        <v>1049375</v>
      </c>
      <c r="R73" s="3"/>
      <c r="S73" s="3">
        <v>453733</v>
      </c>
      <c r="T73" s="3"/>
      <c r="U73" s="3">
        <v>44369</v>
      </c>
      <c r="V73" s="3"/>
      <c r="W73" s="3">
        <v>237503</v>
      </c>
      <c r="X73" s="3"/>
      <c r="Y73" s="3">
        <v>197954</v>
      </c>
      <c r="Z73" s="3"/>
      <c r="AA73" s="3">
        <v>0</v>
      </c>
      <c r="AB73" s="3"/>
      <c r="AC73" s="3">
        <v>75984</v>
      </c>
      <c r="AD73" s="16" t="s">
        <v>322</v>
      </c>
      <c r="AF73" s="16" t="s">
        <v>153</v>
      </c>
      <c r="AH73" s="3">
        <v>9691</v>
      </c>
      <c r="AI73" s="3"/>
      <c r="AJ73" s="3">
        <v>175742</v>
      </c>
      <c r="AK73" s="3"/>
      <c r="AL73" s="3">
        <v>0</v>
      </c>
      <c r="AM73" s="3"/>
      <c r="AN73" s="3">
        <v>0</v>
      </c>
      <c r="AO73" s="3"/>
      <c r="AP73" s="3">
        <v>0</v>
      </c>
      <c r="AQ73" s="3"/>
      <c r="AR73" s="3">
        <v>0</v>
      </c>
      <c r="AS73" s="3"/>
      <c r="AT73" s="3">
        <v>0</v>
      </c>
      <c r="AU73" s="3"/>
      <c r="AV73" s="3">
        <v>0</v>
      </c>
      <c r="AW73" s="3"/>
      <c r="AX73" s="3">
        <v>0</v>
      </c>
      <c r="AY73" s="3"/>
      <c r="AZ73" s="3">
        <v>0</v>
      </c>
      <c r="BA73" s="3"/>
      <c r="BB73" s="3">
        <f>SUM(G73:BA73)</f>
        <v>4475381</v>
      </c>
      <c r="BC73" s="3"/>
      <c r="BD73" s="3">
        <v>0</v>
      </c>
      <c r="BE73" s="3"/>
      <c r="BF73" s="3">
        <v>0</v>
      </c>
      <c r="BG73" s="3"/>
      <c r="BH73" s="3">
        <v>0</v>
      </c>
      <c r="BI73" s="3"/>
      <c r="BJ73" s="3">
        <v>0</v>
      </c>
      <c r="BK73" s="16" t="s">
        <v>322</v>
      </c>
      <c r="BM73" s="16" t="s">
        <v>153</v>
      </c>
      <c r="BN73" s="3"/>
      <c r="BO73" s="3">
        <f t="shared" si="19"/>
        <v>4475381</v>
      </c>
      <c r="BP73" s="3"/>
      <c r="BQ73" s="3">
        <f>GenRev!AW73-BO73</f>
        <v>-132766</v>
      </c>
      <c r="BR73" s="3"/>
      <c r="BS73" s="3">
        <v>1914805</v>
      </c>
      <c r="BT73" s="3"/>
      <c r="BU73" s="3">
        <v>0</v>
      </c>
      <c r="BV73" s="3"/>
      <c r="BW73" s="3">
        <f>+BS73+BQ73+BU73</f>
        <v>1782039</v>
      </c>
      <c r="BX73" s="3"/>
      <c r="BY73" s="97">
        <f>+BW73-GenBS!AE73</f>
        <v>30</v>
      </c>
      <c r="CB73" s="3" t="s">
        <v>405</v>
      </c>
      <c r="CC73" s="3" t="str">
        <f t="shared" si="20"/>
        <v>Brown County Educ Srv Ctr</v>
      </c>
      <c r="CD73" s="3" t="b">
        <f t="shared" si="21"/>
        <v>1</v>
      </c>
      <c r="CE73" s="3" t="b">
        <f t="shared" si="22"/>
        <v>1</v>
      </c>
      <c r="CF73" s="3" t="str">
        <f>GenRev!A73</f>
        <v>Brown County Educ Srv Ctr</v>
      </c>
      <c r="CG73" s="16" t="b">
        <f t="shared" si="23"/>
        <v>1</v>
      </c>
      <c r="CI73" s="3" t="str">
        <f t="shared" si="24"/>
        <v>Brown</v>
      </c>
      <c r="CJ73" s="16" t="b">
        <f t="shared" si="25"/>
        <v>1</v>
      </c>
      <c r="CK73" s="16" t="b">
        <f t="shared" si="26"/>
        <v>1</v>
      </c>
      <c r="CM73" s="16" t="b">
        <f>C73=GenRev!C73</f>
        <v>1</v>
      </c>
    </row>
    <row r="74" spans="1:91" s="16" customFormat="1">
      <c r="A74" s="16" t="s">
        <v>323</v>
      </c>
      <c r="C74" s="16" t="s">
        <v>150</v>
      </c>
      <c r="E74" s="16">
        <v>46086</v>
      </c>
      <c r="G74" s="3">
        <v>465265</v>
      </c>
      <c r="H74" s="3"/>
      <c r="I74" s="3">
        <v>1106099</v>
      </c>
      <c r="J74" s="3"/>
      <c r="K74" s="3">
        <v>0</v>
      </c>
      <c r="L74" s="3"/>
      <c r="M74" s="32">
        <v>0</v>
      </c>
      <c r="N74" s="3"/>
      <c r="O74" s="3">
        <v>0</v>
      </c>
      <c r="P74" s="3"/>
      <c r="Q74" s="3">
        <v>985206</v>
      </c>
      <c r="R74" s="3"/>
      <c r="S74" s="3">
        <v>921447</v>
      </c>
      <c r="T74" s="3"/>
      <c r="U74" s="3">
        <v>12826</v>
      </c>
      <c r="V74" s="3"/>
      <c r="W74" s="3">
        <v>1229739</v>
      </c>
      <c r="X74" s="3"/>
      <c r="Y74" s="3">
        <v>246118</v>
      </c>
      <c r="Z74" s="3"/>
      <c r="AA74" s="3">
        <v>0</v>
      </c>
      <c r="AB74" s="3"/>
      <c r="AC74" s="3">
        <v>339234</v>
      </c>
      <c r="AD74" s="16" t="s">
        <v>323</v>
      </c>
      <c r="AF74" s="16" t="s">
        <v>150</v>
      </c>
      <c r="AH74" s="3">
        <v>148908</v>
      </c>
      <c r="AI74" s="3"/>
      <c r="AJ74" s="3">
        <v>1710946</v>
      </c>
      <c r="AK74" s="3"/>
      <c r="AL74" s="3">
        <v>0</v>
      </c>
      <c r="AM74" s="3"/>
      <c r="AN74" s="3">
        <v>0</v>
      </c>
      <c r="AO74" s="3"/>
      <c r="AP74" s="3">
        <v>0</v>
      </c>
      <c r="AQ74" s="3"/>
      <c r="AR74" s="3">
        <v>0</v>
      </c>
      <c r="AS74" s="3"/>
      <c r="AT74" s="3">
        <v>873631</v>
      </c>
      <c r="AU74" s="3"/>
      <c r="AV74" s="3">
        <v>0</v>
      </c>
      <c r="AW74" s="3"/>
      <c r="AX74" s="3">
        <v>70000</v>
      </c>
      <c r="AY74" s="3"/>
      <c r="AZ74" s="3">
        <v>160875</v>
      </c>
      <c r="BA74" s="3"/>
      <c r="BB74" s="3">
        <f t="shared" ref="BB74:BB130" si="27">SUM(G74:BA74)</f>
        <v>8270294</v>
      </c>
      <c r="BC74" s="3"/>
      <c r="BD74" s="3">
        <v>0</v>
      </c>
      <c r="BE74" s="3"/>
      <c r="BF74" s="3">
        <v>0</v>
      </c>
      <c r="BG74" s="3"/>
      <c r="BH74" s="3">
        <v>0</v>
      </c>
      <c r="BI74" s="3"/>
      <c r="BJ74" s="3">
        <v>0</v>
      </c>
      <c r="BK74" s="16" t="s">
        <v>323</v>
      </c>
      <c r="BM74" s="16" t="s">
        <v>150</v>
      </c>
      <c r="BN74" s="3"/>
      <c r="BO74" s="3">
        <f t="shared" si="19"/>
        <v>8270294</v>
      </c>
      <c r="BP74" s="3"/>
      <c r="BQ74" s="3">
        <f>GenRev!AW74-BO74</f>
        <v>-571821</v>
      </c>
      <c r="BR74" s="3"/>
      <c r="BS74" s="3">
        <v>1129419</v>
      </c>
      <c r="BT74" s="3"/>
      <c r="BU74" s="3">
        <v>0</v>
      </c>
      <c r="BV74" s="3"/>
      <c r="BW74" s="3">
        <f t="shared" ref="BW74:BW130" si="28">+BS74+BQ74+BU74</f>
        <v>557598</v>
      </c>
      <c r="BX74" s="3"/>
      <c r="BY74" s="17">
        <f>+BW74-GenBS!AE74</f>
        <v>0</v>
      </c>
      <c r="CB74" s="3"/>
      <c r="CC74" s="3" t="str">
        <f t="shared" si="20"/>
        <v>Butler County Educ Srv Ctr</v>
      </c>
      <c r="CD74" s="3" t="b">
        <f t="shared" si="21"/>
        <v>1</v>
      </c>
      <c r="CE74" s="3" t="b">
        <f t="shared" si="22"/>
        <v>1</v>
      </c>
      <c r="CF74" s="3" t="str">
        <f>GenRev!A74</f>
        <v>Butler County Educ Srv Ctr</v>
      </c>
      <c r="CG74" s="16" t="b">
        <f t="shared" si="23"/>
        <v>1</v>
      </c>
      <c r="CI74" s="3" t="str">
        <f t="shared" si="24"/>
        <v>Butler</v>
      </c>
      <c r="CJ74" s="16" t="b">
        <f t="shared" si="25"/>
        <v>1</v>
      </c>
      <c r="CK74" s="16" t="b">
        <f t="shared" si="26"/>
        <v>1</v>
      </c>
      <c r="CM74" s="16" t="b">
        <f>C74=GenRev!C74</f>
        <v>1</v>
      </c>
    </row>
    <row r="75" spans="1:91" s="16" customFormat="1">
      <c r="A75" s="16" t="s">
        <v>324</v>
      </c>
      <c r="C75" s="16" t="s">
        <v>155</v>
      </c>
      <c r="E75" s="16">
        <v>46227</v>
      </c>
      <c r="G75" s="3">
        <v>126</v>
      </c>
      <c r="H75" s="3"/>
      <c r="I75" s="3">
        <v>1423434</v>
      </c>
      <c r="J75" s="3"/>
      <c r="K75" s="3">
        <v>55766</v>
      </c>
      <c r="L75" s="3"/>
      <c r="M75" s="32">
        <v>0</v>
      </c>
      <c r="N75" s="3"/>
      <c r="O75" s="3">
        <v>65151</v>
      </c>
      <c r="P75" s="3"/>
      <c r="Q75" s="3">
        <v>1508565</v>
      </c>
      <c r="R75" s="3"/>
      <c r="S75" s="3">
        <v>1861925</v>
      </c>
      <c r="T75" s="3"/>
      <c r="U75" s="3">
        <v>21206</v>
      </c>
      <c r="V75" s="3"/>
      <c r="W75" s="3">
        <v>585885</v>
      </c>
      <c r="X75" s="3"/>
      <c r="Y75" s="3">
        <v>210070</v>
      </c>
      <c r="Z75" s="3"/>
      <c r="AA75" s="3">
        <v>11832</v>
      </c>
      <c r="AB75" s="3"/>
      <c r="AC75" s="3">
        <v>53949</v>
      </c>
      <c r="AD75" s="16" t="s">
        <v>324</v>
      </c>
      <c r="AF75" s="16" t="s">
        <v>155</v>
      </c>
      <c r="AH75" s="3">
        <v>0</v>
      </c>
      <c r="AI75" s="3"/>
      <c r="AJ75" s="3">
        <v>53431</v>
      </c>
      <c r="AK75" s="3"/>
      <c r="AL75" s="3">
        <v>0</v>
      </c>
      <c r="AM75" s="3"/>
      <c r="AN75" s="3">
        <v>0</v>
      </c>
      <c r="AO75" s="3"/>
      <c r="AP75" s="3">
        <v>0</v>
      </c>
      <c r="AQ75" s="3"/>
      <c r="AR75" s="3">
        <v>0</v>
      </c>
      <c r="AS75" s="3"/>
      <c r="AT75" s="3">
        <v>0</v>
      </c>
      <c r="AU75" s="3"/>
      <c r="AV75" s="3">
        <v>0</v>
      </c>
      <c r="AW75" s="3"/>
      <c r="AX75" s="3">
        <v>71377</v>
      </c>
      <c r="AY75" s="3"/>
      <c r="AZ75" s="3">
        <v>5</v>
      </c>
      <c r="BA75" s="3"/>
      <c r="BB75" s="3">
        <f t="shared" si="27"/>
        <v>5922722</v>
      </c>
      <c r="BC75" s="3"/>
      <c r="BD75" s="3">
        <v>0</v>
      </c>
      <c r="BE75" s="3"/>
      <c r="BF75" s="3">
        <v>0</v>
      </c>
      <c r="BG75" s="3"/>
      <c r="BH75" s="3">
        <v>0</v>
      </c>
      <c r="BI75" s="3"/>
      <c r="BJ75" s="3">
        <v>0</v>
      </c>
      <c r="BK75" s="16" t="s">
        <v>324</v>
      </c>
      <c r="BM75" s="16" t="s">
        <v>155</v>
      </c>
      <c r="BN75" s="3"/>
      <c r="BO75" s="3">
        <f t="shared" si="19"/>
        <v>5922722</v>
      </c>
      <c r="BP75" s="3"/>
      <c r="BQ75" s="3">
        <f>GenRev!AW75-BO75</f>
        <v>242669</v>
      </c>
      <c r="BR75" s="3"/>
      <c r="BS75" s="3">
        <v>1381103</v>
      </c>
      <c r="BT75" s="3"/>
      <c r="BU75" s="3">
        <v>0</v>
      </c>
      <c r="BV75" s="3"/>
      <c r="BW75" s="3">
        <f t="shared" si="28"/>
        <v>1623772</v>
      </c>
      <c r="BX75" s="3"/>
      <c r="BY75" s="17">
        <f>+BW75-GenBS!AE75</f>
        <v>0</v>
      </c>
      <c r="CB75" s="3"/>
      <c r="CC75" s="3" t="str">
        <f t="shared" si="20"/>
        <v>Clark County Educ Srv Ctr</v>
      </c>
      <c r="CD75" s="3" t="b">
        <f t="shared" si="21"/>
        <v>1</v>
      </c>
      <c r="CE75" s="3" t="b">
        <f t="shared" si="22"/>
        <v>1</v>
      </c>
      <c r="CF75" s="3" t="str">
        <f>GenRev!A75</f>
        <v>Clark County Educ Srv Ctr</v>
      </c>
      <c r="CG75" s="16" t="b">
        <f t="shared" si="23"/>
        <v>1</v>
      </c>
      <c r="CI75" s="3" t="str">
        <f t="shared" si="24"/>
        <v>Clark</v>
      </c>
      <c r="CJ75" s="16" t="b">
        <f t="shared" si="25"/>
        <v>1</v>
      </c>
      <c r="CK75" s="16" t="b">
        <f t="shared" si="26"/>
        <v>1</v>
      </c>
      <c r="CM75" s="16" t="b">
        <f>C75=GenRev!C75</f>
        <v>1</v>
      </c>
    </row>
    <row r="76" spans="1:91" s="16" customFormat="1">
      <c r="A76" s="3" t="s">
        <v>156</v>
      </c>
      <c r="C76" s="16" t="s">
        <v>157</v>
      </c>
      <c r="E76" s="16">
        <v>46292</v>
      </c>
      <c r="F76" s="3"/>
      <c r="G76" s="3">
        <v>221568</v>
      </c>
      <c r="H76" s="3"/>
      <c r="I76" s="3">
        <v>6946281</v>
      </c>
      <c r="J76" s="3"/>
      <c r="K76" s="3">
        <v>0</v>
      </c>
      <c r="L76" s="3"/>
      <c r="M76" s="32">
        <v>15791</v>
      </c>
      <c r="N76" s="3"/>
      <c r="O76" s="3">
        <v>0</v>
      </c>
      <c r="P76" s="3"/>
      <c r="Q76" s="3">
        <v>4479899</v>
      </c>
      <c r="R76" s="3"/>
      <c r="S76" s="3">
        <v>5939132</v>
      </c>
      <c r="T76" s="3"/>
      <c r="U76" s="3">
        <v>232429</v>
      </c>
      <c r="V76" s="3"/>
      <c r="W76" s="3">
        <v>454880</v>
      </c>
      <c r="X76" s="3"/>
      <c r="Y76" s="3">
        <v>277994</v>
      </c>
      <c r="Z76" s="3"/>
      <c r="AA76" s="3">
        <v>0</v>
      </c>
      <c r="AB76" s="3"/>
      <c r="AC76" s="3">
        <v>0</v>
      </c>
      <c r="AD76" s="3" t="s">
        <v>156</v>
      </c>
      <c r="AF76" s="16" t="s">
        <v>157</v>
      </c>
      <c r="AH76" s="3">
        <v>0</v>
      </c>
      <c r="AI76" s="3"/>
      <c r="AJ76" s="3">
        <v>40153</v>
      </c>
      <c r="AK76" s="3"/>
      <c r="AL76" s="3">
        <v>0</v>
      </c>
      <c r="AM76" s="3"/>
      <c r="AN76" s="3">
        <v>0</v>
      </c>
      <c r="AO76" s="3"/>
      <c r="AP76" s="3">
        <v>0</v>
      </c>
      <c r="AQ76" s="3"/>
      <c r="AR76" s="3">
        <v>0</v>
      </c>
      <c r="AS76" s="3"/>
      <c r="AT76" s="3">
        <v>0</v>
      </c>
      <c r="AU76" s="3"/>
      <c r="AV76" s="3">
        <v>0</v>
      </c>
      <c r="AW76" s="3"/>
      <c r="AX76" s="3">
        <v>0</v>
      </c>
      <c r="AY76" s="3"/>
      <c r="AZ76" s="3">
        <v>0</v>
      </c>
      <c r="BA76" s="3"/>
      <c r="BB76" s="3">
        <f t="shared" si="27"/>
        <v>18608127</v>
      </c>
      <c r="BC76" s="3"/>
      <c r="BD76" s="3">
        <v>15000</v>
      </c>
      <c r="BE76" s="3"/>
      <c r="BF76" s="3">
        <v>0</v>
      </c>
      <c r="BG76" s="3"/>
      <c r="BH76" s="3">
        <v>0</v>
      </c>
      <c r="BI76" s="3"/>
      <c r="BJ76" s="3">
        <v>0</v>
      </c>
      <c r="BK76" s="3" t="s">
        <v>156</v>
      </c>
      <c r="BM76" s="16" t="s">
        <v>157</v>
      </c>
      <c r="BN76" s="3"/>
      <c r="BO76" s="3">
        <f t="shared" si="19"/>
        <v>18623127</v>
      </c>
      <c r="BP76" s="3"/>
      <c r="BQ76" s="3">
        <f>GenRev!AW76-BO76</f>
        <v>215605</v>
      </c>
      <c r="BR76" s="3"/>
      <c r="BS76" s="3">
        <v>4402776</v>
      </c>
      <c r="BT76" s="3"/>
      <c r="BU76" s="3">
        <v>0</v>
      </c>
      <c r="BV76" s="3"/>
      <c r="BW76" s="3">
        <f t="shared" si="28"/>
        <v>4618381</v>
      </c>
      <c r="BX76" s="3"/>
      <c r="BY76" s="17">
        <f>+BW76-GenBS!AE76</f>
        <v>0</v>
      </c>
      <c r="CB76" s="3" t="s">
        <v>425</v>
      </c>
      <c r="CC76" s="3" t="str">
        <f t="shared" si="20"/>
        <v>Clermont County Educ Srv Ctr</v>
      </c>
      <c r="CD76" s="3" t="b">
        <f t="shared" si="21"/>
        <v>1</v>
      </c>
      <c r="CE76" s="3" t="b">
        <f t="shared" si="22"/>
        <v>1</v>
      </c>
      <c r="CF76" s="3" t="str">
        <f>GenRev!A76</f>
        <v>Clermont County Educ Srv Ctr</v>
      </c>
      <c r="CG76" s="16" t="b">
        <f t="shared" si="23"/>
        <v>1</v>
      </c>
      <c r="CI76" s="3" t="str">
        <f t="shared" si="24"/>
        <v>Clermont</v>
      </c>
      <c r="CJ76" s="16" t="b">
        <f t="shared" si="25"/>
        <v>1</v>
      </c>
      <c r="CK76" s="16" t="b">
        <f t="shared" si="26"/>
        <v>1</v>
      </c>
      <c r="CM76" s="16" t="b">
        <f>C76=GenRev!C76</f>
        <v>1</v>
      </c>
    </row>
    <row r="77" spans="1:91" s="66" customFormat="1" hidden="1">
      <c r="A77" s="66" t="s">
        <v>294</v>
      </c>
      <c r="C77" s="66" t="s">
        <v>158</v>
      </c>
      <c r="E77" s="66">
        <v>46375</v>
      </c>
      <c r="G77" s="65"/>
      <c r="H77" s="65"/>
      <c r="I77" s="65"/>
      <c r="J77" s="65"/>
      <c r="K77" s="65"/>
      <c r="L77" s="65"/>
      <c r="M77" s="80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6" t="s">
        <v>294</v>
      </c>
      <c r="AF77" s="66" t="s">
        <v>158</v>
      </c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>
        <f t="shared" si="27"/>
        <v>0</v>
      </c>
      <c r="BC77" s="65"/>
      <c r="BD77" s="65"/>
      <c r="BE77" s="65"/>
      <c r="BF77" s="65"/>
      <c r="BG77" s="65"/>
      <c r="BH77" s="65"/>
      <c r="BI77" s="65"/>
      <c r="BJ77" s="65"/>
      <c r="BK77" s="66" t="s">
        <v>294</v>
      </c>
      <c r="BM77" s="66" t="s">
        <v>158</v>
      </c>
      <c r="BN77" s="65"/>
      <c r="BO77" s="65">
        <f t="shared" si="19"/>
        <v>0</v>
      </c>
      <c r="BP77" s="65"/>
      <c r="BQ77" s="65">
        <f>GenRev!AW77-BO77</f>
        <v>0</v>
      </c>
      <c r="BR77" s="65"/>
      <c r="BS77" s="65"/>
      <c r="BT77" s="65"/>
      <c r="BU77" s="65"/>
      <c r="BV77" s="65"/>
      <c r="BW77" s="3">
        <f t="shared" si="28"/>
        <v>0</v>
      </c>
      <c r="BX77" s="65"/>
      <c r="BY77" s="67">
        <f>+BW77-GenBS!AE77</f>
        <v>0</v>
      </c>
      <c r="CB77" s="66" t="s">
        <v>314</v>
      </c>
      <c r="CC77" s="65" t="str">
        <f t="shared" si="20"/>
        <v>Clinton Fayette Highland Educ-now Southern Ohio ESC</v>
      </c>
      <c r="CD77" s="65" t="b">
        <f t="shared" si="21"/>
        <v>1</v>
      </c>
      <c r="CE77" s="65" t="b">
        <f t="shared" si="22"/>
        <v>1</v>
      </c>
      <c r="CF77" s="65" t="str">
        <f>GenRev!A77</f>
        <v>Clinton Fayette Highland Educ-now Southern Ohio ESC</v>
      </c>
      <c r="CG77" s="66" t="b">
        <f t="shared" si="23"/>
        <v>1</v>
      </c>
      <c r="CI77" s="65" t="str">
        <f t="shared" si="24"/>
        <v>Clinton</v>
      </c>
      <c r="CJ77" s="66" t="b">
        <f t="shared" si="25"/>
        <v>1</v>
      </c>
      <c r="CK77" s="66" t="b">
        <f t="shared" si="26"/>
        <v>1</v>
      </c>
      <c r="CM77" s="66" t="b">
        <f>C77=GenRev!C77</f>
        <v>1</v>
      </c>
    </row>
    <row r="78" spans="1:91" s="16" customFormat="1">
      <c r="A78" s="16" t="s">
        <v>345</v>
      </c>
      <c r="C78" s="16" t="s">
        <v>159</v>
      </c>
      <c r="E78" s="16">
        <v>46417</v>
      </c>
      <c r="G78" s="3">
        <v>922709</v>
      </c>
      <c r="H78" s="3"/>
      <c r="I78" s="3">
        <v>1379038</v>
      </c>
      <c r="J78" s="3"/>
      <c r="K78" s="3">
        <v>0</v>
      </c>
      <c r="L78" s="3"/>
      <c r="M78" s="32">
        <v>0</v>
      </c>
      <c r="N78" s="3"/>
      <c r="O78" s="3">
        <v>0</v>
      </c>
      <c r="P78" s="3"/>
      <c r="Q78" s="3">
        <v>2361610</v>
      </c>
      <c r="R78" s="3"/>
      <c r="S78" s="3">
        <v>2784654</v>
      </c>
      <c r="T78" s="3"/>
      <c r="U78" s="3">
        <v>31927</v>
      </c>
      <c r="V78" s="3"/>
      <c r="W78" s="3">
        <v>556100</v>
      </c>
      <c r="X78" s="3"/>
      <c r="Y78" s="3">
        <v>171159</v>
      </c>
      <c r="Z78" s="3"/>
      <c r="AA78" s="3">
        <v>0</v>
      </c>
      <c r="AB78" s="3"/>
      <c r="AC78" s="3">
        <v>141437</v>
      </c>
      <c r="AD78" s="16" t="s">
        <v>345</v>
      </c>
      <c r="AF78" s="16" t="s">
        <v>159</v>
      </c>
      <c r="AH78" s="3">
        <v>522775</v>
      </c>
      <c r="AI78" s="3"/>
      <c r="AJ78" s="3">
        <v>324711</v>
      </c>
      <c r="AK78" s="3"/>
      <c r="AL78" s="3">
        <v>0</v>
      </c>
      <c r="AM78" s="3"/>
      <c r="AN78" s="3">
        <v>0</v>
      </c>
      <c r="AO78" s="3"/>
      <c r="AP78" s="3">
        <v>50079</v>
      </c>
      <c r="AQ78" s="3"/>
      <c r="AR78" s="3">
        <v>0</v>
      </c>
      <c r="AS78" s="3"/>
      <c r="AT78" s="3">
        <v>78959</v>
      </c>
      <c r="AU78" s="3"/>
      <c r="AV78" s="3">
        <v>0</v>
      </c>
      <c r="AW78" s="3"/>
      <c r="AX78" s="3">
        <v>38983</v>
      </c>
      <c r="AY78" s="3"/>
      <c r="AZ78" s="3">
        <v>24123</v>
      </c>
      <c r="BA78" s="3"/>
      <c r="BB78" s="3">
        <f t="shared" si="27"/>
        <v>9388264</v>
      </c>
      <c r="BC78" s="3"/>
      <c r="BD78" s="3">
        <v>2059</v>
      </c>
      <c r="BE78" s="3"/>
      <c r="BF78" s="3">
        <v>0</v>
      </c>
      <c r="BG78" s="3"/>
      <c r="BH78" s="3">
        <v>0</v>
      </c>
      <c r="BI78" s="3"/>
      <c r="BJ78" s="3">
        <v>0</v>
      </c>
      <c r="BK78" s="16" t="s">
        <v>345</v>
      </c>
      <c r="BM78" s="16" t="s">
        <v>159</v>
      </c>
      <c r="BN78" s="3"/>
      <c r="BO78" s="3">
        <f t="shared" si="19"/>
        <v>9390323</v>
      </c>
      <c r="BP78" s="3"/>
      <c r="BQ78" s="3">
        <f>GenRev!AW78-BO78</f>
        <v>566009</v>
      </c>
      <c r="BR78" s="3"/>
      <c r="BS78" s="3">
        <v>69670</v>
      </c>
      <c r="BT78" s="3"/>
      <c r="BU78" s="3">
        <v>0</v>
      </c>
      <c r="BV78" s="3"/>
      <c r="BW78" s="3">
        <f t="shared" si="28"/>
        <v>635679</v>
      </c>
      <c r="BX78" s="3"/>
      <c r="BY78" s="17">
        <f>+BW78-GenBS!AE78</f>
        <v>0</v>
      </c>
      <c r="CB78" s="3"/>
      <c r="CC78" s="3" t="str">
        <f t="shared" si="20"/>
        <v>Columbiana County Educ Srv Ctr</v>
      </c>
      <c r="CD78" s="3" t="b">
        <f t="shared" si="21"/>
        <v>1</v>
      </c>
      <c r="CE78" s="3" t="b">
        <f t="shared" si="22"/>
        <v>1</v>
      </c>
      <c r="CF78" s="3" t="str">
        <f>GenRev!A78</f>
        <v>Columbiana County Educ Srv Ctr</v>
      </c>
      <c r="CG78" s="16" t="b">
        <f t="shared" si="23"/>
        <v>1</v>
      </c>
      <c r="CI78" s="3" t="str">
        <f t="shared" si="24"/>
        <v>Columbiana</v>
      </c>
      <c r="CJ78" s="16" t="b">
        <f t="shared" si="25"/>
        <v>1</v>
      </c>
      <c r="CK78" s="16" t="b">
        <f t="shared" si="26"/>
        <v>1</v>
      </c>
      <c r="CM78" s="16" t="b">
        <f>C78=GenRev!C78</f>
        <v>1</v>
      </c>
    </row>
    <row r="79" spans="1:91" s="16" customFormat="1">
      <c r="A79" s="3" t="s">
        <v>347</v>
      </c>
      <c r="C79" s="16" t="s">
        <v>160</v>
      </c>
      <c r="E79" s="16">
        <v>46532</v>
      </c>
      <c r="G79" s="3">
        <v>513337</v>
      </c>
      <c r="H79" s="3"/>
      <c r="I79" s="3">
        <v>27443186</v>
      </c>
      <c r="J79" s="3"/>
      <c r="K79" s="3">
        <v>453927</v>
      </c>
      <c r="L79" s="3"/>
      <c r="M79" s="32">
        <v>0</v>
      </c>
      <c r="N79" s="3"/>
      <c r="O79" s="3">
        <v>0</v>
      </c>
      <c r="P79" s="3"/>
      <c r="Q79" s="3">
        <v>4679603</v>
      </c>
      <c r="R79" s="3"/>
      <c r="S79" s="3">
        <v>10953610</v>
      </c>
      <c r="T79" s="3"/>
      <c r="U79" s="3">
        <v>68537</v>
      </c>
      <c r="V79" s="3"/>
      <c r="W79" s="3">
        <v>9821173</v>
      </c>
      <c r="X79" s="3"/>
      <c r="Y79" s="3">
        <v>936547</v>
      </c>
      <c r="Z79" s="3"/>
      <c r="AA79" s="3">
        <v>15784</v>
      </c>
      <c r="AB79" s="3"/>
      <c r="AC79" s="3">
        <v>988575</v>
      </c>
      <c r="AD79" s="3" t="s">
        <v>347</v>
      </c>
      <c r="AF79" s="16" t="s">
        <v>160</v>
      </c>
      <c r="AH79" s="3">
        <v>4531</v>
      </c>
      <c r="AI79" s="3"/>
      <c r="AJ79" s="3">
        <v>115151</v>
      </c>
      <c r="AK79" s="3"/>
      <c r="AL79" s="3">
        <v>0</v>
      </c>
      <c r="AM79" s="3"/>
      <c r="AN79" s="3">
        <v>0</v>
      </c>
      <c r="AO79" s="3"/>
      <c r="AP79" s="3">
        <v>773</v>
      </c>
      <c r="AQ79" s="3"/>
      <c r="AR79" s="3">
        <v>61450</v>
      </c>
      <c r="AS79" s="3"/>
      <c r="AT79" s="3">
        <v>0</v>
      </c>
      <c r="AU79" s="3"/>
      <c r="AV79" s="3">
        <v>0</v>
      </c>
      <c r="AW79" s="3"/>
      <c r="AX79" s="3">
        <v>88783</v>
      </c>
      <c r="AY79" s="3"/>
      <c r="AZ79" s="3">
        <v>81610</v>
      </c>
      <c r="BA79" s="3"/>
      <c r="BB79" s="3">
        <f t="shared" si="27"/>
        <v>56226577</v>
      </c>
      <c r="BC79" s="3"/>
      <c r="BD79" s="3">
        <v>0</v>
      </c>
      <c r="BE79" s="3"/>
      <c r="BF79" s="3">
        <v>0</v>
      </c>
      <c r="BG79" s="3"/>
      <c r="BH79" s="3">
        <v>0</v>
      </c>
      <c r="BI79" s="3"/>
      <c r="BJ79" s="3">
        <v>0</v>
      </c>
      <c r="BK79" s="3" t="s">
        <v>347</v>
      </c>
      <c r="BM79" s="16" t="s">
        <v>160</v>
      </c>
      <c r="BN79" s="3"/>
      <c r="BO79" s="3">
        <f t="shared" si="19"/>
        <v>56226577</v>
      </c>
      <c r="BP79" s="3"/>
      <c r="BQ79" s="3">
        <f>GenRev!AW79-BO79</f>
        <v>-182242</v>
      </c>
      <c r="BR79" s="3"/>
      <c r="BS79" s="3">
        <v>23958442</v>
      </c>
      <c r="BT79" s="3"/>
      <c r="BU79" s="3">
        <v>0</v>
      </c>
      <c r="BV79" s="3"/>
      <c r="BW79" s="3">
        <f t="shared" si="28"/>
        <v>23776200</v>
      </c>
      <c r="BX79" s="3"/>
      <c r="BY79" s="17">
        <f>+BW79-GenBS!AE79</f>
        <v>0</v>
      </c>
      <c r="CB79" s="16" t="s">
        <v>315</v>
      </c>
      <c r="CC79" s="3" t="str">
        <f t="shared" si="20"/>
        <v>Cuyahoga Educ Srv Ctr-now Educ Srv Ctr of Cuyahoga County</v>
      </c>
      <c r="CD79" s="3" t="b">
        <f t="shared" si="21"/>
        <v>1</v>
      </c>
      <c r="CE79" s="3" t="b">
        <f t="shared" si="22"/>
        <v>1</v>
      </c>
      <c r="CF79" s="3" t="str">
        <f>GenRev!A79</f>
        <v>Cuyahoga Educ Srv Ctr-now Educ Srv Ctr of Cuyahoga County</v>
      </c>
      <c r="CG79" s="16" t="b">
        <f t="shared" si="23"/>
        <v>1</v>
      </c>
      <c r="CI79" s="3" t="str">
        <f t="shared" si="24"/>
        <v>Cuyahoga</v>
      </c>
      <c r="CJ79" s="16" t="b">
        <f t="shared" si="25"/>
        <v>1</v>
      </c>
      <c r="CK79" s="16" t="b">
        <f t="shared" si="26"/>
        <v>1</v>
      </c>
      <c r="CM79" s="16" t="b">
        <f>C79=GenRev!C79</f>
        <v>1</v>
      </c>
    </row>
    <row r="80" spans="1:91" s="66" customFormat="1" hidden="1">
      <c r="A80" s="65" t="s">
        <v>376</v>
      </c>
      <c r="C80" s="66" t="s">
        <v>161</v>
      </c>
      <c r="E80" s="66">
        <v>46615</v>
      </c>
      <c r="G80" s="65"/>
      <c r="H80" s="65"/>
      <c r="I80" s="65"/>
      <c r="J80" s="65"/>
      <c r="K80" s="65"/>
      <c r="L80" s="65"/>
      <c r="M80" s="80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 t="s">
        <v>376</v>
      </c>
      <c r="AF80" s="66" t="s">
        <v>161</v>
      </c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>
        <f t="shared" si="27"/>
        <v>0</v>
      </c>
      <c r="BC80" s="65"/>
      <c r="BD80" s="65"/>
      <c r="BE80" s="65"/>
      <c r="BF80" s="65"/>
      <c r="BG80" s="65"/>
      <c r="BH80" s="65"/>
      <c r="BI80" s="65"/>
      <c r="BJ80" s="65"/>
      <c r="BK80" s="65" t="s">
        <v>376</v>
      </c>
      <c r="BM80" s="66" t="s">
        <v>161</v>
      </c>
      <c r="BN80" s="65"/>
      <c r="BO80" s="65">
        <f t="shared" si="19"/>
        <v>0</v>
      </c>
      <c r="BP80" s="65"/>
      <c r="BQ80" s="65">
        <f>GenRev!AW80-BO80</f>
        <v>0</v>
      </c>
      <c r="BR80" s="65"/>
      <c r="BS80" s="65"/>
      <c r="BT80" s="65"/>
      <c r="BU80" s="65"/>
      <c r="BV80" s="65"/>
      <c r="BW80" s="3">
        <f t="shared" si="28"/>
        <v>0</v>
      </c>
      <c r="BX80" s="65"/>
      <c r="BY80" s="67">
        <f>+BW80-GenBS!AE80</f>
        <v>0</v>
      </c>
      <c r="CB80" s="66" t="s">
        <v>377</v>
      </c>
      <c r="CC80" s="65" t="str">
        <f t="shared" si="20"/>
        <v>Darke County Educ Srv Ctr (CASH)</v>
      </c>
      <c r="CD80" s="65" t="b">
        <f t="shared" si="21"/>
        <v>1</v>
      </c>
      <c r="CE80" s="65" t="b">
        <f t="shared" si="22"/>
        <v>1</v>
      </c>
      <c r="CF80" s="65" t="str">
        <f>GenRev!A80</f>
        <v>Darke County Educ Srv Ctr (CASH)</v>
      </c>
      <c r="CG80" s="66" t="b">
        <f t="shared" si="23"/>
        <v>1</v>
      </c>
      <c r="CI80" s="65" t="str">
        <f t="shared" si="24"/>
        <v>Darke</v>
      </c>
      <c r="CJ80" s="66" t="b">
        <f t="shared" si="25"/>
        <v>1</v>
      </c>
      <c r="CK80" s="66" t="b">
        <f t="shared" si="26"/>
        <v>1</v>
      </c>
      <c r="CM80" s="66" t="b">
        <f>C80=GenRev!C80</f>
        <v>1</v>
      </c>
    </row>
    <row r="81" spans="1:91" s="66" customFormat="1" hidden="1">
      <c r="A81" s="65" t="s">
        <v>346</v>
      </c>
      <c r="C81" s="66" t="s">
        <v>162</v>
      </c>
      <c r="E81" s="66">
        <v>46730</v>
      </c>
      <c r="G81" s="65"/>
      <c r="H81" s="65"/>
      <c r="I81" s="65"/>
      <c r="J81" s="65"/>
      <c r="K81" s="65"/>
      <c r="L81" s="65"/>
      <c r="M81" s="80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 t="s">
        <v>346</v>
      </c>
      <c r="AF81" s="66" t="s">
        <v>162</v>
      </c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>
        <f t="shared" si="27"/>
        <v>0</v>
      </c>
      <c r="BC81" s="65"/>
      <c r="BD81" s="65"/>
      <c r="BE81" s="65"/>
      <c r="BF81" s="65"/>
      <c r="BG81" s="65"/>
      <c r="BH81" s="65"/>
      <c r="BI81" s="65"/>
      <c r="BJ81" s="65"/>
      <c r="BK81" s="65" t="s">
        <v>346</v>
      </c>
      <c r="BM81" s="66" t="s">
        <v>162</v>
      </c>
      <c r="BN81" s="65"/>
      <c r="BO81" s="65">
        <f t="shared" si="19"/>
        <v>0</v>
      </c>
      <c r="BP81" s="65"/>
      <c r="BQ81" s="65">
        <f>GenRev!AW81-BO81</f>
        <v>0</v>
      </c>
      <c r="BR81" s="65"/>
      <c r="BS81" s="65"/>
      <c r="BT81" s="65"/>
      <c r="BU81" s="65"/>
      <c r="BV81" s="65"/>
      <c r="BW81" s="3">
        <f t="shared" si="28"/>
        <v>0</v>
      </c>
      <c r="BX81" s="65"/>
      <c r="BY81" s="67">
        <f>+BW81-GenBS!AE81</f>
        <v>0</v>
      </c>
      <c r="CB81" s="66" t="s">
        <v>316</v>
      </c>
      <c r="CC81" s="65" t="str">
        <f t="shared" si="20"/>
        <v>Delaware-Union Educ Srv Ctr - see note to right</v>
      </c>
      <c r="CD81" s="65" t="b">
        <f t="shared" si="21"/>
        <v>1</v>
      </c>
      <c r="CE81" s="65" t="b">
        <f t="shared" si="22"/>
        <v>1</v>
      </c>
      <c r="CF81" s="65" t="str">
        <f>GenRev!A81</f>
        <v>Delaware-Union Educ Srv Ctr - see note to right</v>
      </c>
      <c r="CG81" s="66" t="b">
        <f t="shared" si="23"/>
        <v>1</v>
      </c>
      <c r="CI81" s="65" t="str">
        <f t="shared" si="24"/>
        <v>Delaware</v>
      </c>
      <c r="CJ81" s="66" t="b">
        <f t="shared" si="25"/>
        <v>1</v>
      </c>
      <c r="CK81" s="66" t="b">
        <f t="shared" si="26"/>
        <v>1</v>
      </c>
      <c r="CM81" s="66" t="b">
        <f>C81=GenRev!C81</f>
        <v>1</v>
      </c>
    </row>
    <row r="82" spans="1:91" s="16" customFormat="1">
      <c r="A82" s="3" t="s">
        <v>344</v>
      </c>
      <c r="C82" s="16" t="s">
        <v>202</v>
      </c>
      <c r="G82" s="3">
        <v>378062</v>
      </c>
      <c r="H82" s="3"/>
      <c r="I82" s="3">
        <v>1318443</v>
      </c>
      <c r="J82" s="3"/>
      <c r="K82" s="3">
        <v>8347</v>
      </c>
      <c r="L82" s="3"/>
      <c r="M82" s="32">
        <v>0</v>
      </c>
      <c r="N82" s="3"/>
      <c r="O82" s="3">
        <v>335052</v>
      </c>
      <c r="P82" s="3"/>
      <c r="Q82" s="3">
        <v>2250765</v>
      </c>
      <c r="R82" s="3"/>
      <c r="S82" s="3">
        <v>2551811</v>
      </c>
      <c r="T82" s="3"/>
      <c r="U82" s="3">
        <v>17676</v>
      </c>
      <c r="V82" s="3"/>
      <c r="W82" s="3">
        <v>312291</v>
      </c>
      <c r="X82" s="3"/>
      <c r="Y82" s="3">
        <v>247133</v>
      </c>
      <c r="Z82" s="3"/>
      <c r="AA82" s="3">
        <v>179333</v>
      </c>
      <c r="AB82" s="3"/>
      <c r="AC82" s="3">
        <v>193220</v>
      </c>
      <c r="AD82" s="3" t="s">
        <v>344</v>
      </c>
      <c r="AF82" s="16" t="s">
        <v>202</v>
      </c>
      <c r="AH82" s="3">
        <v>12416</v>
      </c>
      <c r="AI82" s="3"/>
      <c r="AJ82" s="3">
        <v>357592</v>
      </c>
      <c r="AK82" s="3"/>
      <c r="AL82" s="3">
        <v>0</v>
      </c>
      <c r="AM82" s="3"/>
      <c r="AN82" s="3">
        <v>0</v>
      </c>
      <c r="AO82" s="3"/>
      <c r="AP82" s="3">
        <v>0</v>
      </c>
      <c r="AQ82" s="3"/>
      <c r="AR82" s="3">
        <v>0</v>
      </c>
      <c r="AS82" s="3"/>
      <c r="AT82" s="3">
        <v>0</v>
      </c>
      <c r="AU82" s="3"/>
      <c r="AV82" s="3">
        <v>0</v>
      </c>
      <c r="AW82" s="3"/>
      <c r="AX82" s="3">
        <v>83189</v>
      </c>
      <c r="AY82" s="3"/>
      <c r="AZ82" s="3">
        <v>28186</v>
      </c>
      <c r="BA82" s="3"/>
      <c r="BB82" s="3">
        <f t="shared" si="27"/>
        <v>8273516</v>
      </c>
      <c r="BC82" s="3"/>
      <c r="BD82" s="3">
        <v>0</v>
      </c>
      <c r="BE82" s="3"/>
      <c r="BF82" s="3">
        <v>0</v>
      </c>
      <c r="BG82" s="3"/>
      <c r="BH82" s="3">
        <v>0</v>
      </c>
      <c r="BI82" s="3"/>
      <c r="BJ82" s="3">
        <v>0</v>
      </c>
      <c r="BK82" s="3" t="s">
        <v>344</v>
      </c>
      <c r="BM82" s="16" t="s">
        <v>202</v>
      </c>
      <c r="BN82" s="3"/>
      <c r="BO82" s="3">
        <f t="shared" si="19"/>
        <v>8273516</v>
      </c>
      <c r="BP82" s="3"/>
      <c r="BQ82" s="3">
        <f>GenRev!AW82-BO82</f>
        <v>426070</v>
      </c>
      <c r="BR82" s="3"/>
      <c r="BS82" s="3">
        <v>583615</v>
      </c>
      <c r="BT82" s="3"/>
      <c r="BU82" s="3">
        <v>0</v>
      </c>
      <c r="BV82" s="3"/>
      <c r="BW82" s="3">
        <f t="shared" si="28"/>
        <v>1009685</v>
      </c>
      <c r="BX82" s="3"/>
      <c r="BY82" s="17">
        <f>+BW82-GenBS!AE82</f>
        <v>0</v>
      </c>
      <c r="CB82" s="16" t="s">
        <v>317</v>
      </c>
      <c r="CC82" s="3" t="str">
        <f t="shared" si="20"/>
        <v>East Central Ohio Educ Srv Ctr</v>
      </c>
      <c r="CD82" s="3" t="b">
        <f t="shared" si="21"/>
        <v>1</v>
      </c>
      <c r="CE82" s="3" t="b">
        <f t="shared" si="22"/>
        <v>1</v>
      </c>
      <c r="CF82" s="3" t="str">
        <f>GenRev!A82</f>
        <v>East Central Ohio Educ Srv Ctr</v>
      </c>
      <c r="CG82" s="16" t="b">
        <f t="shared" si="23"/>
        <v>1</v>
      </c>
      <c r="CI82" s="3" t="str">
        <f t="shared" si="24"/>
        <v>Tuscarawas</v>
      </c>
      <c r="CJ82" s="16" t="b">
        <f t="shared" si="25"/>
        <v>1</v>
      </c>
      <c r="CK82" s="16" t="b">
        <f t="shared" si="26"/>
        <v>1</v>
      </c>
      <c r="CM82" s="16" t="b">
        <f>C82=GenRev!C82</f>
        <v>1</v>
      </c>
    </row>
    <row r="83" spans="1:91" s="16" customFormat="1">
      <c r="A83" s="3" t="s">
        <v>382</v>
      </c>
      <c r="C83" s="16" t="s">
        <v>165</v>
      </c>
      <c r="E83" s="16">
        <v>46938</v>
      </c>
      <c r="G83" s="3">
        <v>630425</v>
      </c>
      <c r="H83" s="3"/>
      <c r="I83" s="3">
        <v>8704154</v>
      </c>
      <c r="J83" s="3"/>
      <c r="K83" s="3">
        <v>0</v>
      </c>
      <c r="L83" s="3"/>
      <c r="M83" s="32">
        <v>0</v>
      </c>
      <c r="N83" s="3"/>
      <c r="O83" s="3">
        <v>55817</v>
      </c>
      <c r="P83" s="3"/>
      <c r="Q83" s="3">
        <v>8528939</v>
      </c>
      <c r="R83" s="3"/>
      <c r="S83" s="3">
        <v>8399166</v>
      </c>
      <c r="T83" s="3"/>
      <c r="U83" s="3">
        <v>68595</v>
      </c>
      <c r="V83" s="3"/>
      <c r="W83" s="3">
        <v>9641563</v>
      </c>
      <c r="X83" s="3"/>
      <c r="Y83" s="3">
        <v>2703093</v>
      </c>
      <c r="Z83" s="3"/>
      <c r="AA83" s="3">
        <v>594100</v>
      </c>
      <c r="AB83" s="3"/>
      <c r="AC83" s="3">
        <v>959628</v>
      </c>
      <c r="AD83" s="3" t="s">
        <v>382</v>
      </c>
      <c r="AF83" s="16" t="s">
        <v>165</v>
      </c>
      <c r="AH83" s="3">
        <v>189999</v>
      </c>
      <c r="AI83" s="3"/>
      <c r="AJ83" s="3">
        <v>14523189</v>
      </c>
      <c r="AK83" s="3"/>
      <c r="AL83" s="3">
        <v>0</v>
      </c>
      <c r="AM83" s="3"/>
      <c r="AN83" s="3">
        <v>0</v>
      </c>
      <c r="AO83" s="3"/>
      <c r="AP83" s="3">
        <v>69585</v>
      </c>
      <c r="AQ83" s="3"/>
      <c r="AR83" s="3">
        <v>92637</v>
      </c>
      <c r="AS83" s="3"/>
      <c r="AT83" s="3">
        <v>6831</v>
      </c>
      <c r="AU83" s="3"/>
      <c r="AV83" s="3">
        <v>0</v>
      </c>
      <c r="AW83" s="3"/>
      <c r="AX83" s="3">
        <v>288125</v>
      </c>
      <c r="AY83" s="3"/>
      <c r="AZ83" s="3">
        <v>139302</v>
      </c>
      <c r="BA83" s="3"/>
      <c r="BB83" s="3">
        <f>SUM(G83:BA83)</f>
        <v>55595148</v>
      </c>
      <c r="BC83" s="3"/>
      <c r="BD83" s="3">
        <v>85039</v>
      </c>
      <c r="BE83" s="3"/>
      <c r="BF83" s="3">
        <v>0</v>
      </c>
      <c r="BG83" s="3"/>
      <c r="BH83" s="3">
        <v>0</v>
      </c>
      <c r="BI83" s="3"/>
      <c r="BJ83" s="3">
        <v>0</v>
      </c>
      <c r="BK83" s="3" t="s">
        <v>382</v>
      </c>
      <c r="BM83" s="16" t="s">
        <v>165</v>
      </c>
      <c r="BN83" s="3"/>
      <c r="BO83" s="3">
        <f t="shared" si="19"/>
        <v>55680187</v>
      </c>
      <c r="BP83" s="3"/>
      <c r="BQ83" s="3">
        <f>GenRev!AW83-BO83</f>
        <v>576813</v>
      </c>
      <c r="BR83" s="3"/>
      <c r="BS83" s="3">
        <v>11730349</v>
      </c>
      <c r="BT83" s="3"/>
      <c r="BU83" s="3">
        <v>0</v>
      </c>
      <c r="BV83" s="3"/>
      <c r="BW83" s="3">
        <f t="shared" si="28"/>
        <v>12307162</v>
      </c>
      <c r="BX83" s="3"/>
      <c r="BY83" s="17">
        <f>+BW83-GenBS!AE83</f>
        <v>0</v>
      </c>
      <c r="CB83" s="16" t="s">
        <v>319</v>
      </c>
      <c r="CC83" s="3" t="str">
        <f t="shared" si="20"/>
        <v>Educational Service Center of Central Ohio</v>
      </c>
      <c r="CD83" s="3" t="b">
        <f t="shared" si="21"/>
        <v>1</v>
      </c>
      <c r="CE83" s="3" t="b">
        <f t="shared" si="22"/>
        <v>1</v>
      </c>
      <c r="CF83" s="3" t="str">
        <f>GenRev!A83</f>
        <v>Educational Service Center of Central Ohio</v>
      </c>
      <c r="CG83" s="16" t="b">
        <f>CC83=CF83</f>
        <v>1</v>
      </c>
      <c r="CI83" s="3" t="str">
        <f t="shared" si="24"/>
        <v>Franklin</v>
      </c>
      <c r="CJ83" s="16" t="b">
        <f t="shared" si="25"/>
        <v>1</v>
      </c>
      <c r="CK83" s="16" t="b">
        <f t="shared" si="26"/>
        <v>1</v>
      </c>
      <c r="CM83" s="16" t="b">
        <f>C83=GenRev!C83</f>
        <v>1</v>
      </c>
    </row>
    <row r="84" spans="1:91" s="66" customFormat="1" hidden="1">
      <c r="A84" s="66" t="s">
        <v>292</v>
      </c>
      <c r="C84" s="66" t="s">
        <v>163</v>
      </c>
      <c r="E84" s="66">
        <v>125690</v>
      </c>
      <c r="G84" s="65"/>
      <c r="H84" s="65"/>
      <c r="I84" s="65"/>
      <c r="J84" s="65"/>
      <c r="K84" s="65"/>
      <c r="L84" s="65"/>
      <c r="M84" s="80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6" t="s">
        <v>292</v>
      </c>
      <c r="AF84" s="66" t="s">
        <v>163</v>
      </c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>
        <f t="shared" si="27"/>
        <v>0</v>
      </c>
      <c r="BC84" s="65"/>
      <c r="BD84" s="65"/>
      <c r="BE84" s="65"/>
      <c r="BF84" s="65"/>
      <c r="BG84" s="65"/>
      <c r="BH84" s="65"/>
      <c r="BI84" s="65"/>
      <c r="BJ84" s="65"/>
      <c r="BK84" s="66" t="s">
        <v>292</v>
      </c>
      <c r="BM84" s="66" t="s">
        <v>163</v>
      </c>
      <c r="BN84" s="65"/>
      <c r="BO84" s="65">
        <f t="shared" si="19"/>
        <v>0</v>
      </c>
      <c r="BP84" s="65"/>
      <c r="BQ84" s="65">
        <f>GenRev!AW84-BO84</f>
        <v>0</v>
      </c>
      <c r="BR84" s="65"/>
      <c r="BS84" s="65"/>
      <c r="BT84" s="65"/>
      <c r="BU84" s="65"/>
      <c r="BV84" s="65"/>
      <c r="BW84" s="3">
        <f t="shared" si="28"/>
        <v>0</v>
      </c>
      <c r="BX84" s="65"/>
      <c r="BY84" s="67">
        <f>+BW84-GenBS!AE84</f>
        <v>0</v>
      </c>
      <c r="CB84" s="66" t="s">
        <v>318</v>
      </c>
      <c r="CC84" s="65" t="str">
        <f t="shared" si="20"/>
        <v>Erie-Huron-Ottawa Educ Srv Ctr-now North Point ESC</v>
      </c>
      <c r="CD84" s="65" t="b">
        <f t="shared" si="21"/>
        <v>1</v>
      </c>
      <c r="CE84" s="65" t="b">
        <f t="shared" si="22"/>
        <v>1</v>
      </c>
      <c r="CF84" s="65" t="str">
        <f>GenRev!A84</f>
        <v>Erie-Huron-Ottawa Educ Srv Ctr-now North Point ESC</v>
      </c>
      <c r="CG84" s="66" t="b">
        <f t="shared" si="23"/>
        <v>1</v>
      </c>
      <c r="CI84" s="65" t="str">
        <f t="shared" si="24"/>
        <v>Erie</v>
      </c>
      <c r="CJ84" s="66" t="b">
        <f t="shared" si="25"/>
        <v>1</v>
      </c>
      <c r="CK84" s="66" t="b">
        <f t="shared" si="26"/>
        <v>1</v>
      </c>
      <c r="CM84" s="66" t="b">
        <f>C84=GenRev!C84</f>
        <v>1</v>
      </c>
    </row>
    <row r="85" spans="1:91" s="16" customFormat="1">
      <c r="A85" s="3" t="s">
        <v>385</v>
      </c>
      <c r="C85" s="16" t="s">
        <v>164</v>
      </c>
      <c r="E85" s="16">
        <v>46839</v>
      </c>
      <c r="G85" s="3">
        <v>231449</v>
      </c>
      <c r="H85" s="3"/>
      <c r="I85" s="3">
        <v>1139748</v>
      </c>
      <c r="J85" s="3"/>
      <c r="K85" s="3">
        <v>0</v>
      </c>
      <c r="L85" s="3"/>
      <c r="M85" s="32">
        <v>0</v>
      </c>
      <c r="N85" s="3"/>
      <c r="O85" s="3">
        <v>68955</v>
      </c>
      <c r="P85" s="3"/>
      <c r="Q85" s="3">
        <v>2024833</v>
      </c>
      <c r="R85" s="3"/>
      <c r="S85" s="3">
        <v>2659918</v>
      </c>
      <c r="T85" s="3"/>
      <c r="U85" s="3">
        <v>33802</v>
      </c>
      <c r="V85" s="3"/>
      <c r="W85" s="3">
        <v>1479753</v>
      </c>
      <c r="X85" s="3"/>
      <c r="Y85" s="3">
        <v>205522</v>
      </c>
      <c r="Z85" s="3"/>
      <c r="AA85" s="3">
        <v>0</v>
      </c>
      <c r="AB85" s="3"/>
      <c r="AC85" s="3">
        <v>51985</v>
      </c>
      <c r="AD85" s="3" t="s">
        <v>385</v>
      </c>
      <c r="AF85" s="16" t="s">
        <v>164</v>
      </c>
      <c r="AH85" s="3">
        <v>0</v>
      </c>
      <c r="AI85" s="3"/>
      <c r="AJ85" s="3">
        <v>75502</v>
      </c>
      <c r="AK85" s="3"/>
      <c r="AL85" s="3">
        <v>0</v>
      </c>
      <c r="AM85" s="3"/>
      <c r="AN85" s="3">
        <v>0</v>
      </c>
      <c r="AO85" s="3"/>
      <c r="AP85" s="3">
        <v>0</v>
      </c>
      <c r="AQ85" s="3"/>
      <c r="AR85" s="3">
        <v>0</v>
      </c>
      <c r="AS85" s="3"/>
      <c r="AT85" s="3">
        <v>0</v>
      </c>
      <c r="AU85" s="3"/>
      <c r="AV85" s="3">
        <v>0</v>
      </c>
      <c r="AW85" s="3"/>
      <c r="AX85" s="3">
        <v>6051</v>
      </c>
      <c r="AY85" s="3"/>
      <c r="AZ85" s="3">
        <v>2064</v>
      </c>
      <c r="BA85" s="3"/>
      <c r="BB85" s="3">
        <f t="shared" si="27"/>
        <v>7979582</v>
      </c>
      <c r="BC85" s="3"/>
      <c r="BD85" s="3">
        <v>0</v>
      </c>
      <c r="BE85" s="3"/>
      <c r="BF85" s="3">
        <v>0</v>
      </c>
      <c r="BG85" s="3"/>
      <c r="BH85" s="3">
        <v>0</v>
      </c>
      <c r="BI85" s="3"/>
      <c r="BJ85" s="3">
        <v>0</v>
      </c>
      <c r="BK85" s="3" t="s">
        <v>385</v>
      </c>
      <c r="BM85" s="16" t="s">
        <v>164</v>
      </c>
      <c r="BN85" s="3"/>
      <c r="BO85" s="3">
        <f t="shared" si="19"/>
        <v>7979582</v>
      </c>
      <c r="BP85" s="3"/>
      <c r="BQ85" s="3">
        <f>GenRev!AW85-BO85</f>
        <v>114472</v>
      </c>
      <c r="BR85" s="3"/>
      <c r="BS85" s="3">
        <v>1031226</v>
      </c>
      <c r="BT85" s="3"/>
      <c r="BU85" s="3">
        <v>0</v>
      </c>
      <c r="BV85" s="3"/>
      <c r="BW85" s="3">
        <f t="shared" si="28"/>
        <v>1145698</v>
      </c>
      <c r="BX85" s="3"/>
      <c r="BY85" s="17">
        <f>+BW85-GenBS!AE85</f>
        <v>0</v>
      </c>
      <c r="CC85" s="3" t="str">
        <f t="shared" si="20"/>
        <v>Fairfield County Educ Srv Ctr</v>
      </c>
      <c r="CD85" s="3" t="b">
        <f t="shared" si="21"/>
        <v>1</v>
      </c>
      <c r="CE85" s="3" t="b">
        <f t="shared" si="22"/>
        <v>1</v>
      </c>
      <c r="CF85" s="3" t="str">
        <f>GenRev!A85</f>
        <v>Fairfield County Educ Srv Ctr</v>
      </c>
      <c r="CG85" s="16" t="b">
        <f t="shared" si="23"/>
        <v>1</v>
      </c>
      <c r="CI85" s="3" t="str">
        <f t="shared" si="24"/>
        <v>Fairfield</v>
      </c>
      <c r="CJ85" s="16" t="b">
        <f t="shared" si="25"/>
        <v>1</v>
      </c>
      <c r="CK85" s="16" t="b">
        <f t="shared" si="26"/>
        <v>1</v>
      </c>
      <c r="CM85" s="16" t="b">
        <f>C85=GenRev!C85</f>
        <v>1</v>
      </c>
    </row>
    <row r="86" spans="1:91" s="16" customFormat="1">
      <c r="A86" s="3" t="s">
        <v>167</v>
      </c>
      <c r="C86" s="16" t="s">
        <v>168</v>
      </c>
      <c r="E86" s="16">
        <v>125682</v>
      </c>
      <c r="G86" s="3">
        <v>254409</v>
      </c>
      <c r="H86" s="3"/>
      <c r="I86" s="3">
        <v>0</v>
      </c>
      <c r="J86" s="3"/>
      <c r="K86" s="3">
        <v>0</v>
      </c>
      <c r="L86" s="3"/>
      <c r="M86" s="32">
        <v>0</v>
      </c>
      <c r="N86" s="3"/>
      <c r="O86" s="3">
        <v>0</v>
      </c>
      <c r="P86" s="3"/>
      <c r="Q86" s="3">
        <v>230820</v>
      </c>
      <c r="R86" s="3"/>
      <c r="S86" s="3">
        <v>539147</v>
      </c>
      <c r="T86" s="3"/>
      <c r="U86" s="3">
        <v>28906</v>
      </c>
      <c r="V86" s="3"/>
      <c r="W86" s="3">
        <v>440507</v>
      </c>
      <c r="X86" s="3"/>
      <c r="Y86" s="3">
        <v>69764</v>
      </c>
      <c r="Z86" s="3"/>
      <c r="AA86" s="3">
        <v>0</v>
      </c>
      <c r="AB86" s="3"/>
      <c r="AC86" s="3">
        <v>29789</v>
      </c>
      <c r="AD86" s="3" t="s">
        <v>167</v>
      </c>
      <c r="AF86" s="16" t="s">
        <v>168</v>
      </c>
      <c r="AH86" s="3">
        <v>181363</v>
      </c>
      <c r="AI86" s="3"/>
      <c r="AJ86" s="3">
        <v>22782</v>
      </c>
      <c r="AK86" s="3"/>
      <c r="AL86" s="3">
        <v>0</v>
      </c>
      <c r="AM86" s="3"/>
      <c r="AN86" s="3">
        <v>0</v>
      </c>
      <c r="AO86" s="3"/>
      <c r="AP86" s="3">
        <v>9021</v>
      </c>
      <c r="AQ86" s="3"/>
      <c r="AR86" s="3">
        <v>0</v>
      </c>
      <c r="AS86" s="3"/>
      <c r="AT86" s="3">
        <v>0</v>
      </c>
      <c r="AU86" s="3"/>
      <c r="AV86" s="3">
        <v>0</v>
      </c>
      <c r="AW86" s="3"/>
      <c r="AX86" s="3">
        <v>0</v>
      </c>
      <c r="AY86" s="3"/>
      <c r="AZ86" s="3">
        <v>0</v>
      </c>
      <c r="BA86" s="3"/>
      <c r="BB86" s="3">
        <f t="shared" si="27"/>
        <v>1806508</v>
      </c>
      <c r="BC86" s="3"/>
      <c r="BD86" s="3">
        <v>890</v>
      </c>
      <c r="BE86" s="3"/>
      <c r="BF86" s="3">
        <v>0</v>
      </c>
      <c r="BG86" s="3"/>
      <c r="BH86" s="3">
        <v>0</v>
      </c>
      <c r="BI86" s="3"/>
      <c r="BJ86" s="3">
        <v>0</v>
      </c>
      <c r="BK86" s="3" t="s">
        <v>167</v>
      </c>
      <c r="BM86" s="16" t="s">
        <v>168</v>
      </c>
      <c r="BN86" s="3"/>
      <c r="BO86" s="3">
        <f t="shared" si="19"/>
        <v>1807398</v>
      </c>
      <c r="BP86" s="3"/>
      <c r="BQ86" s="3">
        <f>GenRev!AW86-BO86</f>
        <v>116267</v>
      </c>
      <c r="BR86" s="3"/>
      <c r="BS86" s="3">
        <v>943798</v>
      </c>
      <c r="BT86" s="3"/>
      <c r="BU86" s="3">
        <v>0</v>
      </c>
      <c r="BV86" s="3"/>
      <c r="BW86" s="3">
        <f t="shared" si="28"/>
        <v>1060065</v>
      </c>
      <c r="BX86" s="3"/>
      <c r="BY86" s="17">
        <f>+BW86-GenBS!AE86</f>
        <v>0</v>
      </c>
      <c r="CB86" s="3"/>
      <c r="CC86" s="3" t="str">
        <f t="shared" si="20"/>
        <v>Gallia-Vinton Educ Srv Ctr</v>
      </c>
      <c r="CD86" s="3" t="b">
        <f t="shared" si="21"/>
        <v>1</v>
      </c>
      <c r="CE86" s="3" t="b">
        <f t="shared" si="22"/>
        <v>1</v>
      </c>
      <c r="CF86" s="3" t="str">
        <f>GenRev!A86</f>
        <v>Gallia-Vinton Educ Srv Ctr</v>
      </c>
      <c r="CG86" s="16" t="b">
        <f t="shared" si="23"/>
        <v>1</v>
      </c>
      <c r="CI86" s="3" t="str">
        <f t="shared" si="24"/>
        <v>Gallia</v>
      </c>
      <c r="CJ86" s="16" t="b">
        <f t="shared" si="25"/>
        <v>1</v>
      </c>
      <c r="CK86" s="16" t="b">
        <f t="shared" si="26"/>
        <v>1</v>
      </c>
      <c r="CM86" s="16" t="b">
        <f>C86=GenRev!C86</f>
        <v>1</v>
      </c>
    </row>
    <row r="87" spans="1:91" s="16" customFormat="1">
      <c r="A87" s="88" t="s">
        <v>384</v>
      </c>
      <c r="C87" s="16" t="s">
        <v>169</v>
      </c>
      <c r="E87" s="16">
        <v>47159</v>
      </c>
      <c r="G87" s="3">
        <v>128892</v>
      </c>
      <c r="H87" s="3"/>
      <c r="I87" s="3">
        <v>3119933</v>
      </c>
      <c r="J87" s="3"/>
      <c r="K87" s="3">
        <v>262354</v>
      </c>
      <c r="L87" s="3"/>
      <c r="M87" s="32">
        <v>3450</v>
      </c>
      <c r="N87" s="3"/>
      <c r="O87" s="3">
        <v>0</v>
      </c>
      <c r="P87" s="3"/>
      <c r="Q87" s="3">
        <v>3485132</v>
      </c>
      <c r="R87" s="3"/>
      <c r="S87" s="3">
        <v>2022509</v>
      </c>
      <c r="T87" s="3"/>
      <c r="U87" s="3">
        <v>26420</v>
      </c>
      <c r="V87" s="3"/>
      <c r="W87" s="3">
        <v>1141955</v>
      </c>
      <c r="X87" s="3"/>
      <c r="Y87" s="3">
        <v>258277</v>
      </c>
      <c r="Z87" s="3"/>
      <c r="AA87" s="3">
        <v>24038</v>
      </c>
      <c r="AB87" s="3"/>
      <c r="AC87" s="3">
        <v>91708</v>
      </c>
      <c r="AD87" s="88" t="s">
        <v>384</v>
      </c>
      <c r="AF87" s="16" t="s">
        <v>169</v>
      </c>
      <c r="AH87" s="3">
        <v>0</v>
      </c>
      <c r="AI87" s="3"/>
      <c r="AJ87" s="3">
        <v>195869</v>
      </c>
      <c r="AK87" s="3"/>
      <c r="AL87" s="3">
        <v>0</v>
      </c>
      <c r="AM87" s="3"/>
      <c r="AN87" s="3">
        <v>0</v>
      </c>
      <c r="AO87" s="3"/>
      <c r="AP87" s="3">
        <v>0</v>
      </c>
      <c r="AQ87" s="3"/>
      <c r="AR87" s="3">
        <v>0</v>
      </c>
      <c r="AS87" s="3"/>
      <c r="AT87" s="3">
        <v>0</v>
      </c>
      <c r="AU87" s="3"/>
      <c r="AV87" s="3">
        <v>0</v>
      </c>
      <c r="AW87" s="3"/>
      <c r="AX87" s="3">
        <v>0</v>
      </c>
      <c r="AY87" s="3"/>
      <c r="AZ87" s="3">
        <v>0</v>
      </c>
      <c r="BA87" s="3"/>
      <c r="BB87" s="3">
        <f t="shared" si="27"/>
        <v>10760537</v>
      </c>
      <c r="BC87" s="3"/>
      <c r="BD87" s="3">
        <v>0</v>
      </c>
      <c r="BE87" s="3"/>
      <c r="BF87" s="3">
        <v>0</v>
      </c>
      <c r="BG87" s="3"/>
      <c r="BH87" s="3">
        <v>0</v>
      </c>
      <c r="BI87" s="3"/>
      <c r="BJ87" s="3">
        <v>0</v>
      </c>
      <c r="BK87" s="88" t="s">
        <v>384</v>
      </c>
      <c r="BM87" s="16" t="s">
        <v>169</v>
      </c>
      <c r="BN87" s="3"/>
      <c r="BO87" s="3">
        <f t="shared" si="19"/>
        <v>10760537</v>
      </c>
      <c r="BP87" s="3"/>
      <c r="BQ87" s="3">
        <f>GenRev!AW87-BO87</f>
        <v>75913</v>
      </c>
      <c r="BR87" s="3"/>
      <c r="BS87" s="3">
        <v>996408</v>
      </c>
      <c r="BT87" s="3"/>
      <c r="BU87" s="3">
        <v>0</v>
      </c>
      <c r="BV87" s="3"/>
      <c r="BW87" s="3">
        <f t="shared" si="28"/>
        <v>1072321</v>
      </c>
      <c r="BX87" s="3"/>
      <c r="BY87" s="17">
        <f>+BW87-GenBS!AE87</f>
        <v>0</v>
      </c>
      <c r="CB87" s="89"/>
      <c r="CC87" s="3" t="str">
        <f t="shared" si="20"/>
        <v>Geauga County Educ Srv Ctr</v>
      </c>
      <c r="CD87" s="3" t="b">
        <f t="shared" si="21"/>
        <v>1</v>
      </c>
      <c r="CE87" s="3" t="b">
        <f t="shared" si="22"/>
        <v>1</v>
      </c>
      <c r="CF87" s="3" t="str">
        <f>GenRev!A87</f>
        <v>Geauga County Educ Srv Ctr</v>
      </c>
      <c r="CG87" s="16" t="b">
        <f t="shared" si="23"/>
        <v>1</v>
      </c>
      <c r="CI87" s="3" t="str">
        <f t="shared" si="24"/>
        <v>Geauga</v>
      </c>
      <c r="CJ87" s="16" t="b">
        <f t="shared" si="25"/>
        <v>1</v>
      </c>
      <c r="CK87" s="16" t="b">
        <f t="shared" si="26"/>
        <v>1</v>
      </c>
      <c r="CM87" s="16" t="b">
        <f>C87=GenRev!C87</f>
        <v>1</v>
      </c>
    </row>
    <row r="88" spans="1:91" s="16" customFormat="1">
      <c r="A88" s="16" t="s">
        <v>328</v>
      </c>
      <c r="C88" s="16" t="s">
        <v>170</v>
      </c>
      <c r="E88" s="16">
        <v>47233</v>
      </c>
      <c r="G88" s="3">
        <v>699943</v>
      </c>
      <c r="H88" s="3"/>
      <c r="I88" s="3">
        <v>3398811</v>
      </c>
      <c r="J88" s="3"/>
      <c r="K88" s="3">
        <v>0</v>
      </c>
      <c r="L88" s="3"/>
      <c r="M88" s="32">
        <v>0</v>
      </c>
      <c r="N88" s="3"/>
      <c r="O88" s="3">
        <v>0</v>
      </c>
      <c r="P88" s="3"/>
      <c r="Q88" s="3">
        <v>6155558</v>
      </c>
      <c r="R88" s="3"/>
      <c r="S88" s="3">
        <v>2210083</v>
      </c>
      <c r="T88" s="3"/>
      <c r="U88" s="3">
        <v>25634</v>
      </c>
      <c r="V88" s="3"/>
      <c r="W88" s="3">
        <v>286476</v>
      </c>
      <c r="X88" s="3"/>
      <c r="Y88" s="3">
        <v>272987</v>
      </c>
      <c r="Z88" s="3"/>
      <c r="AA88" s="3">
        <v>46508</v>
      </c>
      <c r="AB88" s="3"/>
      <c r="AC88" s="3">
        <v>197025</v>
      </c>
      <c r="AD88" s="16" t="s">
        <v>328</v>
      </c>
      <c r="AF88" s="16" t="s">
        <v>170</v>
      </c>
      <c r="AH88" s="3">
        <v>0</v>
      </c>
      <c r="AI88" s="3"/>
      <c r="AJ88" s="3">
        <v>0</v>
      </c>
      <c r="AK88" s="3"/>
      <c r="AL88" s="3">
        <v>0</v>
      </c>
      <c r="AM88" s="3"/>
      <c r="AN88" s="3">
        <v>0</v>
      </c>
      <c r="AO88" s="3"/>
      <c r="AP88" s="3">
        <v>0</v>
      </c>
      <c r="AQ88" s="3"/>
      <c r="AR88" s="3">
        <v>0</v>
      </c>
      <c r="AS88" s="3"/>
      <c r="AT88" s="3">
        <v>12517</v>
      </c>
      <c r="AU88" s="3"/>
      <c r="AV88" s="3">
        <v>0</v>
      </c>
      <c r="AW88" s="3"/>
      <c r="AX88" s="3">
        <v>58742</v>
      </c>
      <c r="AY88" s="3"/>
      <c r="AZ88" s="3">
        <v>4985</v>
      </c>
      <c r="BA88" s="3"/>
      <c r="BB88" s="3">
        <f t="shared" si="27"/>
        <v>13369269</v>
      </c>
      <c r="BC88" s="3"/>
      <c r="BD88" s="3">
        <v>0</v>
      </c>
      <c r="BE88" s="3"/>
      <c r="BF88" s="3">
        <v>0</v>
      </c>
      <c r="BG88" s="3"/>
      <c r="BH88" s="3">
        <v>0</v>
      </c>
      <c r="BI88" s="3"/>
      <c r="BJ88" s="3">
        <v>0</v>
      </c>
      <c r="BK88" s="16" t="s">
        <v>328</v>
      </c>
      <c r="BM88" s="16" t="s">
        <v>170</v>
      </c>
      <c r="BN88" s="3"/>
      <c r="BO88" s="3">
        <f t="shared" si="19"/>
        <v>13369269</v>
      </c>
      <c r="BP88" s="3"/>
      <c r="BQ88" s="3">
        <f>GenRev!AW88-BO88</f>
        <v>40264</v>
      </c>
      <c r="BR88" s="3"/>
      <c r="BS88" s="3">
        <v>1724693</v>
      </c>
      <c r="BT88" s="3"/>
      <c r="BU88" s="3">
        <v>0</v>
      </c>
      <c r="BV88" s="3"/>
      <c r="BW88" s="3">
        <f t="shared" si="28"/>
        <v>1764957</v>
      </c>
      <c r="BX88" s="3"/>
      <c r="BY88" s="17">
        <f>+BW88-GenBS!AE88</f>
        <v>0</v>
      </c>
      <c r="CB88" s="3"/>
      <c r="CC88" s="3" t="str">
        <f t="shared" si="20"/>
        <v>Greene County Educ Srv Ctr</v>
      </c>
      <c r="CD88" s="3" t="b">
        <f t="shared" si="21"/>
        <v>1</v>
      </c>
      <c r="CE88" s="3" t="b">
        <f t="shared" si="22"/>
        <v>1</v>
      </c>
      <c r="CF88" s="3" t="str">
        <f>GenRev!A88</f>
        <v>Greene County Educ Srv Ctr</v>
      </c>
      <c r="CG88" s="16" t="b">
        <f t="shared" si="23"/>
        <v>1</v>
      </c>
      <c r="CI88" s="3" t="str">
        <f t="shared" si="24"/>
        <v>Greene</v>
      </c>
      <c r="CJ88" s="16" t="b">
        <f t="shared" si="25"/>
        <v>1</v>
      </c>
      <c r="CK88" s="16" t="b">
        <f t="shared" si="26"/>
        <v>1</v>
      </c>
      <c r="CM88" s="16" t="b">
        <f>C88=GenRev!C88</f>
        <v>1</v>
      </c>
    </row>
    <row r="89" spans="1:91" s="16" customFormat="1">
      <c r="A89" s="16" t="s">
        <v>329</v>
      </c>
      <c r="C89" s="16" t="s">
        <v>171</v>
      </c>
      <c r="E89" s="16">
        <v>47324</v>
      </c>
      <c r="G89" s="3">
        <v>0</v>
      </c>
      <c r="H89" s="3"/>
      <c r="I89" s="3">
        <v>7913309</v>
      </c>
      <c r="J89" s="3"/>
      <c r="K89" s="3">
        <v>68828</v>
      </c>
      <c r="L89" s="3"/>
      <c r="M89" s="32">
        <v>0</v>
      </c>
      <c r="N89" s="3"/>
      <c r="O89" s="3">
        <v>0</v>
      </c>
      <c r="P89" s="3"/>
      <c r="Q89" s="3">
        <v>7630897</v>
      </c>
      <c r="R89" s="3"/>
      <c r="S89" s="3">
        <v>5043770</v>
      </c>
      <c r="T89" s="3"/>
      <c r="U89" s="3">
        <v>39453</v>
      </c>
      <c r="V89" s="3"/>
      <c r="W89" s="3">
        <v>3038628</v>
      </c>
      <c r="X89" s="3"/>
      <c r="Y89" s="3">
        <v>696440</v>
      </c>
      <c r="Z89" s="3"/>
      <c r="AA89" s="3">
        <v>409218</v>
      </c>
      <c r="AB89" s="3"/>
      <c r="AC89" s="3">
        <v>368510</v>
      </c>
      <c r="AD89" s="16" t="s">
        <v>329</v>
      </c>
      <c r="AF89" s="16" t="s">
        <v>171</v>
      </c>
      <c r="AH89" s="3">
        <v>0</v>
      </c>
      <c r="AI89" s="3"/>
      <c r="AJ89" s="3">
        <v>664018</v>
      </c>
      <c r="AK89" s="3"/>
      <c r="AL89" s="3">
        <v>0</v>
      </c>
      <c r="AM89" s="3"/>
      <c r="AN89" s="3">
        <v>0</v>
      </c>
      <c r="AO89" s="3"/>
      <c r="AP89" s="3">
        <v>6498782</v>
      </c>
      <c r="AQ89" s="3"/>
      <c r="AR89" s="3">
        <v>0</v>
      </c>
      <c r="AS89" s="3"/>
      <c r="AT89" s="3">
        <v>0</v>
      </c>
      <c r="AU89" s="3"/>
      <c r="AV89" s="3">
        <v>0</v>
      </c>
      <c r="AW89" s="3"/>
      <c r="AX89" s="3">
        <v>43000</v>
      </c>
      <c r="AY89" s="3"/>
      <c r="AZ89" s="3">
        <v>105963</v>
      </c>
      <c r="BA89" s="3"/>
      <c r="BB89" s="3">
        <f t="shared" si="27"/>
        <v>32520816</v>
      </c>
      <c r="BC89" s="3"/>
      <c r="BD89" s="3">
        <v>300000</v>
      </c>
      <c r="BE89" s="3"/>
      <c r="BF89" s="3">
        <v>0</v>
      </c>
      <c r="BG89" s="3"/>
      <c r="BH89" s="3">
        <v>0</v>
      </c>
      <c r="BI89" s="3"/>
      <c r="BJ89" s="3">
        <v>0</v>
      </c>
      <c r="BK89" s="16" t="s">
        <v>329</v>
      </c>
      <c r="BM89" s="16" t="s">
        <v>171</v>
      </c>
      <c r="BN89" s="3"/>
      <c r="BO89" s="3">
        <f t="shared" si="19"/>
        <v>32820816</v>
      </c>
      <c r="BP89" s="3"/>
      <c r="BQ89" s="3">
        <f>GenRev!AW89-BO89</f>
        <v>-1067570</v>
      </c>
      <c r="BR89" s="3"/>
      <c r="BS89" s="3">
        <v>6059583</v>
      </c>
      <c r="BT89" s="3"/>
      <c r="BU89" s="3">
        <v>0</v>
      </c>
      <c r="BV89" s="3"/>
      <c r="BW89" s="3">
        <f t="shared" si="28"/>
        <v>4992013</v>
      </c>
      <c r="BX89" s="3"/>
      <c r="BY89" s="17">
        <f>+BW89-GenBS!AE89</f>
        <v>0</v>
      </c>
      <c r="CB89" s="3"/>
      <c r="CC89" s="3" t="str">
        <f t="shared" si="20"/>
        <v>Hamilton County Educ Srv Ctr</v>
      </c>
      <c r="CD89" s="3" t="b">
        <f t="shared" si="21"/>
        <v>1</v>
      </c>
      <c r="CE89" s="3" t="b">
        <f t="shared" si="22"/>
        <v>1</v>
      </c>
      <c r="CF89" s="3" t="str">
        <f>GenRev!A89</f>
        <v>Hamilton County Educ Srv Ctr</v>
      </c>
      <c r="CG89" s="16" t="b">
        <f t="shared" si="23"/>
        <v>1</v>
      </c>
      <c r="CI89" s="3" t="str">
        <f t="shared" si="24"/>
        <v>Hamilton</v>
      </c>
      <c r="CJ89" s="16" t="b">
        <f t="shared" si="25"/>
        <v>1</v>
      </c>
      <c r="CK89" s="16" t="b">
        <f t="shared" si="26"/>
        <v>1</v>
      </c>
      <c r="CM89" s="16" t="b">
        <f>C89=GenRev!C89</f>
        <v>1</v>
      </c>
    </row>
    <row r="90" spans="1:91" s="16" customFormat="1">
      <c r="A90" s="16" t="s">
        <v>330</v>
      </c>
      <c r="C90" s="16" t="s">
        <v>172</v>
      </c>
      <c r="E90" s="16">
        <v>47407</v>
      </c>
      <c r="G90" s="3">
        <v>75956</v>
      </c>
      <c r="H90" s="3"/>
      <c r="I90" s="3">
        <v>1287421</v>
      </c>
      <c r="J90" s="3"/>
      <c r="K90" s="3">
        <v>0</v>
      </c>
      <c r="L90" s="3"/>
      <c r="M90" s="32">
        <v>0</v>
      </c>
      <c r="N90" s="3"/>
      <c r="O90" s="3">
        <v>0</v>
      </c>
      <c r="P90" s="3"/>
      <c r="Q90" s="3">
        <v>1131496</v>
      </c>
      <c r="R90" s="3"/>
      <c r="S90" s="3">
        <v>1650353</v>
      </c>
      <c r="T90" s="3"/>
      <c r="U90" s="3">
        <v>42012</v>
      </c>
      <c r="V90" s="3"/>
      <c r="W90" s="3">
        <v>641546</v>
      </c>
      <c r="X90" s="3"/>
      <c r="Y90" s="3">
        <v>239946</v>
      </c>
      <c r="Z90" s="3"/>
      <c r="AA90" s="3">
        <v>0</v>
      </c>
      <c r="AB90" s="3"/>
      <c r="AC90" s="3">
        <v>52117</v>
      </c>
      <c r="AD90" s="16" t="s">
        <v>330</v>
      </c>
      <c r="AF90" s="16" t="s">
        <v>172</v>
      </c>
      <c r="AH90" s="3">
        <v>90503</v>
      </c>
      <c r="AI90" s="3"/>
      <c r="AJ90" s="3">
        <v>12234</v>
      </c>
      <c r="AK90" s="3"/>
      <c r="AL90" s="3">
        <v>0</v>
      </c>
      <c r="AM90" s="3"/>
      <c r="AN90" s="3">
        <v>0</v>
      </c>
      <c r="AO90" s="3"/>
      <c r="AP90" s="3">
        <v>3650</v>
      </c>
      <c r="AQ90" s="3"/>
      <c r="AR90" s="3">
        <v>1125</v>
      </c>
      <c r="AS90" s="3"/>
      <c r="AT90" s="3">
        <v>0</v>
      </c>
      <c r="AU90" s="3"/>
      <c r="AV90" s="3">
        <v>0</v>
      </c>
      <c r="AW90" s="3"/>
      <c r="AX90" s="3">
        <v>0</v>
      </c>
      <c r="AY90" s="3"/>
      <c r="AZ90" s="3">
        <v>0</v>
      </c>
      <c r="BA90" s="3"/>
      <c r="BB90" s="3">
        <f t="shared" si="27"/>
        <v>5228359</v>
      </c>
      <c r="BC90" s="3"/>
      <c r="BD90" s="3">
        <v>0</v>
      </c>
      <c r="BE90" s="3"/>
      <c r="BF90" s="3">
        <v>0</v>
      </c>
      <c r="BG90" s="3"/>
      <c r="BH90" s="3">
        <v>0</v>
      </c>
      <c r="BI90" s="3"/>
      <c r="BJ90" s="3">
        <v>0</v>
      </c>
      <c r="BK90" s="16" t="s">
        <v>330</v>
      </c>
      <c r="BM90" s="16" t="s">
        <v>172</v>
      </c>
      <c r="BN90" s="3"/>
      <c r="BO90" s="3">
        <f t="shared" si="19"/>
        <v>5228359</v>
      </c>
      <c r="BP90" s="3"/>
      <c r="BQ90" s="3">
        <f>GenRev!AW90-BO90</f>
        <v>36647</v>
      </c>
      <c r="BR90" s="3"/>
      <c r="BS90" s="3">
        <v>313122</v>
      </c>
      <c r="BT90" s="3"/>
      <c r="BU90" s="3">
        <v>0</v>
      </c>
      <c r="BV90" s="3"/>
      <c r="BW90" s="3">
        <f t="shared" si="28"/>
        <v>349769</v>
      </c>
      <c r="BX90" s="3"/>
      <c r="BY90" s="17">
        <f>+BW90-GenBS!AE90</f>
        <v>0</v>
      </c>
      <c r="CB90" s="3"/>
      <c r="CC90" s="3" t="str">
        <f t="shared" si="20"/>
        <v>Hancock County Educ Srv Ctr</v>
      </c>
      <c r="CD90" s="3" t="b">
        <f t="shared" si="21"/>
        <v>1</v>
      </c>
      <c r="CE90" s="3" t="b">
        <f t="shared" si="22"/>
        <v>1</v>
      </c>
      <c r="CF90" s="3" t="str">
        <f>GenRev!A90</f>
        <v>Hancock County Educ Srv Ctr</v>
      </c>
      <c r="CG90" s="16" t="b">
        <f t="shared" si="23"/>
        <v>1</v>
      </c>
      <c r="CI90" s="3" t="str">
        <f t="shared" si="24"/>
        <v>Hancock</v>
      </c>
      <c r="CJ90" s="16" t="b">
        <f t="shared" si="25"/>
        <v>1</v>
      </c>
      <c r="CK90" s="16" t="b">
        <f t="shared" si="26"/>
        <v>1</v>
      </c>
      <c r="CM90" s="16" t="b">
        <f>C90=GenRev!C90</f>
        <v>1</v>
      </c>
    </row>
    <row r="91" spans="1:91" s="16" customFormat="1">
      <c r="A91" s="16" t="s">
        <v>331</v>
      </c>
      <c r="C91" s="16" t="s">
        <v>21</v>
      </c>
      <c r="E91" s="16">
        <v>47480</v>
      </c>
      <c r="G91" s="3">
        <v>47328</v>
      </c>
      <c r="H91" s="3"/>
      <c r="I91" s="3">
        <v>570609</v>
      </c>
      <c r="J91" s="3"/>
      <c r="K91" s="3">
        <v>0</v>
      </c>
      <c r="L91" s="3"/>
      <c r="M91" s="32">
        <v>0</v>
      </c>
      <c r="N91" s="3"/>
      <c r="O91" s="3">
        <v>0</v>
      </c>
      <c r="P91" s="3"/>
      <c r="Q91" s="3">
        <v>1055875</v>
      </c>
      <c r="R91" s="3"/>
      <c r="S91" s="3">
        <v>118915</v>
      </c>
      <c r="T91" s="3"/>
      <c r="U91" s="3">
        <v>14548</v>
      </c>
      <c r="V91" s="3"/>
      <c r="W91" s="3">
        <v>216078</v>
      </c>
      <c r="X91" s="3"/>
      <c r="Y91" s="3">
        <v>169374</v>
      </c>
      <c r="Z91" s="3"/>
      <c r="AA91" s="3">
        <v>0</v>
      </c>
      <c r="AB91" s="3"/>
      <c r="AC91" s="3">
        <v>12513</v>
      </c>
      <c r="AD91" s="16" t="s">
        <v>331</v>
      </c>
      <c r="AF91" s="16" t="s">
        <v>21</v>
      </c>
      <c r="AH91" s="3">
        <v>9475</v>
      </c>
      <c r="AI91" s="3"/>
      <c r="AJ91" s="3">
        <v>109263</v>
      </c>
      <c r="AK91" s="3"/>
      <c r="AL91" s="3">
        <v>0</v>
      </c>
      <c r="AM91" s="3"/>
      <c r="AN91" s="3">
        <v>0</v>
      </c>
      <c r="AO91" s="3"/>
      <c r="AP91" s="3">
        <v>0</v>
      </c>
      <c r="AQ91" s="3"/>
      <c r="AR91" s="3">
        <v>1595</v>
      </c>
      <c r="AS91" s="3"/>
      <c r="AT91" s="3">
        <v>0</v>
      </c>
      <c r="AU91" s="3"/>
      <c r="AV91" s="3">
        <v>0</v>
      </c>
      <c r="AW91" s="3"/>
      <c r="AX91" s="3">
        <v>0</v>
      </c>
      <c r="AY91" s="3"/>
      <c r="AZ91" s="3">
        <v>0</v>
      </c>
      <c r="BA91" s="3"/>
      <c r="BB91" s="3">
        <f t="shared" si="27"/>
        <v>2325573</v>
      </c>
      <c r="BC91" s="3"/>
      <c r="BD91" s="3">
        <v>0</v>
      </c>
      <c r="BE91" s="3"/>
      <c r="BF91" s="3">
        <v>0</v>
      </c>
      <c r="BG91" s="3"/>
      <c r="BH91" s="3">
        <v>0</v>
      </c>
      <c r="BI91" s="3"/>
      <c r="BJ91" s="3">
        <v>0</v>
      </c>
      <c r="BK91" s="16" t="s">
        <v>331</v>
      </c>
      <c r="BM91" s="16" t="s">
        <v>21</v>
      </c>
      <c r="BN91" s="3"/>
      <c r="BO91" s="3">
        <f t="shared" si="19"/>
        <v>2325573</v>
      </c>
      <c r="BP91" s="3"/>
      <c r="BQ91" s="3">
        <f>GenRev!AW91-BO91</f>
        <v>-177031</v>
      </c>
      <c r="BR91" s="3"/>
      <c r="BS91" s="3">
        <v>1044431</v>
      </c>
      <c r="BT91" s="3"/>
      <c r="BU91" s="3">
        <v>0</v>
      </c>
      <c r="BV91" s="3"/>
      <c r="BW91" s="3">
        <f t="shared" si="28"/>
        <v>867400</v>
      </c>
      <c r="BX91" s="3"/>
      <c r="BY91" s="17">
        <f>+BW91-GenBS!AE91</f>
        <v>0</v>
      </c>
      <c r="CB91" s="3"/>
      <c r="CC91" s="3" t="str">
        <f t="shared" si="20"/>
        <v>Hardin County Educ Srv Ctr</v>
      </c>
      <c r="CD91" s="3" t="b">
        <f t="shared" si="21"/>
        <v>1</v>
      </c>
      <c r="CE91" s="3" t="b">
        <f t="shared" si="22"/>
        <v>1</v>
      </c>
      <c r="CF91" s="3" t="str">
        <f>GenRev!A91</f>
        <v>Hardin County Educ Srv Ctr</v>
      </c>
      <c r="CG91" s="16" t="b">
        <f t="shared" si="23"/>
        <v>1</v>
      </c>
      <c r="CI91" s="3" t="str">
        <f t="shared" si="24"/>
        <v>Hardin</v>
      </c>
      <c r="CJ91" s="16" t="b">
        <f t="shared" si="25"/>
        <v>1</v>
      </c>
      <c r="CK91" s="16" t="b">
        <f t="shared" si="26"/>
        <v>1</v>
      </c>
      <c r="CM91" s="16" t="b">
        <f>C91=GenRev!C91</f>
        <v>1</v>
      </c>
    </row>
    <row r="92" spans="1:91" s="16" customFormat="1">
      <c r="A92" s="16" t="s">
        <v>332</v>
      </c>
      <c r="C92" s="16" t="s">
        <v>173</v>
      </c>
      <c r="E92" s="16">
        <v>47779</v>
      </c>
      <c r="G92" s="3">
        <v>1320202</v>
      </c>
      <c r="H92" s="3"/>
      <c r="I92" s="3">
        <v>612856</v>
      </c>
      <c r="J92" s="3"/>
      <c r="K92" s="3">
        <v>0</v>
      </c>
      <c r="L92" s="3"/>
      <c r="M92" s="32">
        <v>0</v>
      </c>
      <c r="N92" s="3"/>
      <c r="O92" s="3">
        <v>6400</v>
      </c>
      <c r="P92" s="3"/>
      <c r="Q92" s="3">
        <v>1323588</v>
      </c>
      <c r="R92" s="3"/>
      <c r="S92" s="3">
        <v>2051475</v>
      </c>
      <c r="T92" s="3"/>
      <c r="U92" s="3">
        <v>16270</v>
      </c>
      <c r="V92" s="3"/>
      <c r="W92" s="3">
        <v>1115200</v>
      </c>
      <c r="X92" s="3"/>
      <c r="Y92" s="3">
        <v>264640</v>
      </c>
      <c r="Z92" s="3"/>
      <c r="AA92" s="3">
        <v>0</v>
      </c>
      <c r="AB92" s="3"/>
      <c r="AC92" s="3">
        <v>19594</v>
      </c>
      <c r="AD92" s="16" t="s">
        <v>332</v>
      </c>
      <c r="AF92" s="16" t="s">
        <v>173</v>
      </c>
      <c r="AH92" s="3">
        <v>0</v>
      </c>
      <c r="AI92" s="3"/>
      <c r="AJ92" s="3">
        <v>0</v>
      </c>
      <c r="AK92" s="3"/>
      <c r="AL92" s="3">
        <v>0</v>
      </c>
      <c r="AM92" s="3"/>
      <c r="AN92" s="3">
        <v>0</v>
      </c>
      <c r="AO92" s="3"/>
      <c r="AP92" s="3">
        <v>0</v>
      </c>
      <c r="AQ92" s="3"/>
      <c r="AR92" s="3">
        <v>0</v>
      </c>
      <c r="AS92" s="3"/>
      <c r="AT92" s="3">
        <v>0</v>
      </c>
      <c r="AU92" s="3"/>
      <c r="AV92" s="3">
        <v>0</v>
      </c>
      <c r="AW92" s="3"/>
      <c r="AX92" s="3">
        <v>3373</v>
      </c>
      <c r="AY92" s="3"/>
      <c r="AZ92" s="3">
        <v>858</v>
      </c>
      <c r="BA92" s="3"/>
      <c r="BB92" s="3">
        <f t="shared" si="27"/>
        <v>6734456</v>
      </c>
      <c r="BC92" s="3"/>
      <c r="BD92" s="3">
        <v>6409</v>
      </c>
      <c r="BE92" s="3"/>
      <c r="BF92" s="3">
        <v>0</v>
      </c>
      <c r="BG92" s="3"/>
      <c r="BH92" s="3">
        <v>0</v>
      </c>
      <c r="BI92" s="3"/>
      <c r="BJ92" s="3">
        <v>0</v>
      </c>
      <c r="BK92" s="16" t="s">
        <v>332</v>
      </c>
      <c r="BM92" s="16" t="s">
        <v>173</v>
      </c>
      <c r="BN92" s="3"/>
      <c r="BO92" s="3">
        <f t="shared" si="19"/>
        <v>6740865</v>
      </c>
      <c r="BP92" s="3"/>
      <c r="BQ92" s="3">
        <f>GenRev!AW92-BO92</f>
        <v>-109201</v>
      </c>
      <c r="BR92" s="3"/>
      <c r="BS92" s="3">
        <v>3124871</v>
      </c>
      <c r="BT92" s="3"/>
      <c r="BU92" s="3">
        <v>0</v>
      </c>
      <c r="BV92" s="3"/>
      <c r="BW92" s="3">
        <f t="shared" si="28"/>
        <v>3015670</v>
      </c>
      <c r="BX92" s="3"/>
      <c r="BY92" s="17">
        <f>+BW92-GenBS!AE92</f>
        <v>0</v>
      </c>
      <c r="CB92" s="3"/>
      <c r="CC92" s="3" t="str">
        <f t="shared" si="20"/>
        <v>Jefferson County Educ Srv Ctr</v>
      </c>
      <c r="CD92" s="3" t="b">
        <f t="shared" si="21"/>
        <v>1</v>
      </c>
      <c r="CE92" s="3" t="b">
        <f t="shared" si="22"/>
        <v>1</v>
      </c>
      <c r="CF92" s="3" t="str">
        <f>GenRev!A92</f>
        <v>Jefferson County Educ Srv Ctr</v>
      </c>
      <c r="CG92" s="16" t="b">
        <f t="shared" si="23"/>
        <v>1</v>
      </c>
      <c r="CI92" s="3" t="str">
        <f t="shared" si="24"/>
        <v>Jefferson</v>
      </c>
      <c r="CJ92" s="16" t="b">
        <f t="shared" si="25"/>
        <v>1</v>
      </c>
      <c r="CK92" s="16" t="b">
        <f t="shared" si="26"/>
        <v>1</v>
      </c>
      <c r="CM92" s="16" t="b">
        <f>C92=GenRev!C92</f>
        <v>1</v>
      </c>
    </row>
    <row r="93" spans="1:91" s="16" customFormat="1">
      <c r="A93" s="16" t="s">
        <v>333</v>
      </c>
      <c r="C93" s="16" t="s">
        <v>174</v>
      </c>
      <c r="E93" s="16">
        <v>47811</v>
      </c>
      <c r="G93" s="3">
        <v>96232</v>
      </c>
      <c r="H93" s="3"/>
      <c r="I93" s="3">
        <v>3547469</v>
      </c>
      <c r="J93" s="3"/>
      <c r="K93" s="3">
        <v>0</v>
      </c>
      <c r="L93" s="3"/>
      <c r="M93" s="32">
        <v>0</v>
      </c>
      <c r="N93" s="3"/>
      <c r="O93" s="3">
        <v>0</v>
      </c>
      <c r="P93" s="3"/>
      <c r="Q93" s="3">
        <v>579868</v>
      </c>
      <c r="R93" s="3"/>
      <c r="S93" s="3">
        <v>525597</v>
      </c>
      <c r="T93" s="3"/>
      <c r="U93" s="3">
        <v>25859</v>
      </c>
      <c r="V93" s="3"/>
      <c r="W93" s="3">
        <v>725308</v>
      </c>
      <c r="X93" s="3"/>
      <c r="Y93" s="3">
        <v>101374</v>
      </c>
      <c r="Z93" s="3"/>
      <c r="AA93" s="3">
        <v>0</v>
      </c>
      <c r="AB93" s="3"/>
      <c r="AC93" s="3">
        <v>81396</v>
      </c>
      <c r="AD93" s="16" t="s">
        <v>333</v>
      </c>
      <c r="AF93" s="16" t="s">
        <v>174</v>
      </c>
      <c r="AH93" s="3">
        <v>0</v>
      </c>
      <c r="AI93" s="3"/>
      <c r="AJ93" s="3">
        <v>2115</v>
      </c>
      <c r="AK93" s="3"/>
      <c r="AL93" s="3">
        <v>0</v>
      </c>
      <c r="AM93" s="3"/>
      <c r="AN93" s="3">
        <v>0</v>
      </c>
      <c r="AO93" s="3"/>
      <c r="AP93" s="3">
        <v>0</v>
      </c>
      <c r="AQ93" s="3"/>
      <c r="AR93" s="3">
        <v>0</v>
      </c>
      <c r="AS93" s="3"/>
      <c r="AT93" s="3">
        <v>0</v>
      </c>
      <c r="AU93" s="3"/>
      <c r="AV93" s="3">
        <v>0</v>
      </c>
      <c r="AW93" s="3"/>
      <c r="AX93" s="3">
        <v>0</v>
      </c>
      <c r="AY93" s="3"/>
      <c r="AZ93" s="3">
        <v>0</v>
      </c>
      <c r="BA93" s="3"/>
      <c r="BB93" s="3">
        <f t="shared" si="27"/>
        <v>5685218</v>
      </c>
      <c r="BC93" s="3"/>
      <c r="BD93" s="3">
        <v>0</v>
      </c>
      <c r="BE93" s="3"/>
      <c r="BF93" s="3">
        <v>0</v>
      </c>
      <c r="BG93" s="3"/>
      <c r="BH93" s="3">
        <v>0</v>
      </c>
      <c r="BI93" s="3"/>
      <c r="BJ93" s="3">
        <v>0</v>
      </c>
      <c r="BK93" s="16" t="s">
        <v>333</v>
      </c>
      <c r="BM93" s="16" t="s">
        <v>174</v>
      </c>
      <c r="BN93" s="3"/>
      <c r="BO93" s="3">
        <f t="shared" si="19"/>
        <v>5685218</v>
      </c>
      <c r="BP93" s="3"/>
      <c r="BQ93" s="3">
        <f>GenRev!AW93-BO93</f>
        <v>-167103</v>
      </c>
      <c r="BR93" s="3"/>
      <c r="BS93" s="3">
        <v>-32473</v>
      </c>
      <c r="BT93" s="3"/>
      <c r="BU93" s="3">
        <v>0</v>
      </c>
      <c r="BV93" s="3"/>
      <c r="BW93" s="3">
        <f t="shared" si="28"/>
        <v>-199576</v>
      </c>
      <c r="BX93" s="3"/>
      <c r="BY93" s="17">
        <f>+BW93-GenBS!AE93</f>
        <v>0</v>
      </c>
      <c r="CB93" s="3"/>
      <c r="CC93" s="3" t="str">
        <f t="shared" si="20"/>
        <v>Knox County Educ Srv Ctr</v>
      </c>
      <c r="CD93" s="3" t="b">
        <f t="shared" si="21"/>
        <v>1</v>
      </c>
      <c r="CE93" s="3" t="b">
        <f t="shared" si="22"/>
        <v>1</v>
      </c>
      <c r="CF93" s="3" t="str">
        <f>GenRev!A93</f>
        <v>Knox County Educ Srv Ctr</v>
      </c>
      <c r="CG93" s="16" t="b">
        <f t="shared" si="23"/>
        <v>1</v>
      </c>
      <c r="CI93" s="3" t="str">
        <f t="shared" si="24"/>
        <v>Knox</v>
      </c>
      <c r="CJ93" s="16" t="b">
        <f t="shared" si="25"/>
        <v>1</v>
      </c>
      <c r="CK93" s="16" t="b">
        <f t="shared" si="26"/>
        <v>1</v>
      </c>
      <c r="CM93" s="16" t="b">
        <f>C93=GenRev!C93</f>
        <v>1</v>
      </c>
    </row>
    <row r="94" spans="1:91" s="16" customFormat="1">
      <c r="A94" s="16" t="s">
        <v>334</v>
      </c>
      <c r="C94" s="16" t="s">
        <v>149</v>
      </c>
      <c r="E94" s="16">
        <v>47860</v>
      </c>
      <c r="G94" s="3">
        <v>280654</v>
      </c>
      <c r="H94" s="3"/>
      <c r="I94" s="3">
        <v>2725550</v>
      </c>
      <c r="J94" s="3"/>
      <c r="K94" s="3">
        <v>451301</v>
      </c>
      <c r="L94" s="3"/>
      <c r="M94" s="32">
        <v>0</v>
      </c>
      <c r="N94" s="3"/>
      <c r="O94" s="3">
        <v>106805</v>
      </c>
      <c r="P94" s="3"/>
      <c r="Q94" s="3">
        <v>3116810</v>
      </c>
      <c r="R94" s="3"/>
      <c r="S94" s="3">
        <v>1221476</v>
      </c>
      <c r="T94" s="3"/>
      <c r="U94" s="3">
        <v>18495</v>
      </c>
      <c r="V94" s="3"/>
      <c r="W94" s="3">
        <v>1433483</v>
      </c>
      <c r="X94" s="3"/>
      <c r="Y94" s="3">
        <v>271025</v>
      </c>
      <c r="Z94" s="3"/>
      <c r="AA94" s="3">
        <v>0</v>
      </c>
      <c r="AB94" s="3"/>
      <c r="AC94" s="3">
        <v>117899</v>
      </c>
      <c r="AD94" s="16" t="s">
        <v>334</v>
      </c>
      <c r="AF94" s="16" t="s">
        <v>149</v>
      </c>
      <c r="AH94" s="3">
        <v>188101</v>
      </c>
      <c r="AI94" s="3"/>
      <c r="AJ94" s="3">
        <v>778489</v>
      </c>
      <c r="AK94" s="3"/>
      <c r="AL94" s="3">
        <v>0</v>
      </c>
      <c r="AM94" s="3"/>
      <c r="AN94" s="3">
        <v>0</v>
      </c>
      <c r="AO94" s="3"/>
      <c r="AP94" s="3">
        <v>20268</v>
      </c>
      <c r="AQ94" s="3"/>
      <c r="AR94" s="3">
        <v>0</v>
      </c>
      <c r="AS94" s="3"/>
      <c r="AT94" s="3">
        <v>0</v>
      </c>
      <c r="AU94" s="3"/>
      <c r="AV94" s="3">
        <v>0</v>
      </c>
      <c r="AW94" s="3"/>
      <c r="AX94" s="3">
        <v>0</v>
      </c>
      <c r="AY94" s="3"/>
      <c r="AZ94" s="3">
        <v>0</v>
      </c>
      <c r="BA94" s="3"/>
      <c r="BB94" s="3">
        <f t="shared" si="27"/>
        <v>10730356</v>
      </c>
      <c r="BC94" s="3"/>
      <c r="BD94" s="3">
        <v>1529</v>
      </c>
      <c r="BE94" s="3"/>
      <c r="BF94" s="3">
        <v>0</v>
      </c>
      <c r="BG94" s="3"/>
      <c r="BH94" s="3">
        <v>0</v>
      </c>
      <c r="BI94" s="3"/>
      <c r="BJ94" s="3">
        <v>0</v>
      </c>
      <c r="BK94" s="16" t="s">
        <v>334</v>
      </c>
      <c r="BM94" s="16" t="s">
        <v>149</v>
      </c>
      <c r="BN94" s="3"/>
      <c r="BO94" s="3">
        <f t="shared" si="19"/>
        <v>10731885</v>
      </c>
      <c r="BP94" s="3"/>
      <c r="BQ94" s="3">
        <f>GenRev!AW94-BO94</f>
        <v>295284</v>
      </c>
      <c r="BR94" s="3"/>
      <c r="BS94" s="3">
        <v>693110</v>
      </c>
      <c r="BT94" s="3"/>
      <c r="BU94" s="3">
        <v>0</v>
      </c>
      <c r="BV94" s="3"/>
      <c r="BW94" s="3">
        <f t="shared" si="28"/>
        <v>988394</v>
      </c>
      <c r="BX94" s="3"/>
      <c r="BY94" s="17">
        <f>+BW94-GenBS!AE94</f>
        <v>0</v>
      </c>
      <c r="CB94" s="16" t="s">
        <v>387</v>
      </c>
      <c r="CC94" s="3" t="str">
        <f t="shared" si="20"/>
        <v>Lake County Educ Srv Ctr</v>
      </c>
      <c r="CD94" s="3" t="b">
        <f t="shared" si="21"/>
        <v>1</v>
      </c>
      <c r="CE94" s="3" t="b">
        <f t="shared" si="22"/>
        <v>1</v>
      </c>
      <c r="CF94" s="3" t="str">
        <f>GenRev!A94</f>
        <v>Lake County Educ Srv Ctr</v>
      </c>
      <c r="CG94" s="16" t="b">
        <f t="shared" si="23"/>
        <v>1</v>
      </c>
      <c r="CI94" s="3" t="str">
        <f t="shared" si="24"/>
        <v>Lake</v>
      </c>
      <c r="CJ94" s="16" t="b">
        <f t="shared" si="25"/>
        <v>1</v>
      </c>
      <c r="CK94" s="16" t="b">
        <f t="shared" si="26"/>
        <v>1</v>
      </c>
      <c r="CM94" s="16" t="b">
        <f>C94=GenRev!C94</f>
        <v>1</v>
      </c>
    </row>
    <row r="95" spans="1:91" s="16" customFormat="1">
      <c r="A95" s="16" t="s">
        <v>335</v>
      </c>
      <c r="C95" s="16" t="s">
        <v>175</v>
      </c>
      <c r="E95" s="16">
        <v>47910</v>
      </c>
      <c r="G95" s="3">
        <v>7956</v>
      </c>
      <c r="H95" s="3"/>
      <c r="I95" s="3">
        <v>20000</v>
      </c>
      <c r="J95" s="3"/>
      <c r="K95" s="3">
        <v>0</v>
      </c>
      <c r="L95" s="3"/>
      <c r="M95" s="32">
        <v>0</v>
      </c>
      <c r="N95" s="3"/>
      <c r="O95" s="3">
        <v>0</v>
      </c>
      <c r="P95" s="3"/>
      <c r="Q95" s="3">
        <v>374794</v>
      </c>
      <c r="R95" s="3"/>
      <c r="S95" s="3">
        <v>307815</v>
      </c>
      <c r="T95" s="3"/>
      <c r="U95" s="3">
        <v>53845</v>
      </c>
      <c r="V95" s="3"/>
      <c r="W95" s="3">
        <v>201262</v>
      </c>
      <c r="X95" s="3"/>
      <c r="Y95" s="3">
        <v>146376</v>
      </c>
      <c r="Z95" s="3"/>
      <c r="AA95" s="3">
        <v>0</v>
      </c>
      <c r="AB95" s="3"/>
      <c r="AC95" s="3">
        <v>22316</v>
      </c>
      <c r="AD95" s="16" t="s">
        <v>335</v>
      </c>
      <c r="AF95" s="16" t="s">
        <v>175</v>
      </c>
      <c r="AH95" s="3">
        <v>0</v>
      </c>
      <c r="AI95" s="3"/>
      <c r="AJ95" s="3">
        <v>159232</v>
      </c>
      <c r="AK95" s="3"/>
      <c r="AL95" s="3">
        <v>0</v>
      </c>
      <c r="AM95" s="3"/>
      <c r="AN95" s="3">
        <v>0</v>
      </c>
      <c r="AO95" s="3"/>
      <c r="AP95" s="3">
        <v>0</v>
      </c>
      <c r="AQ95" s="3"/>
      <c r="AR95" s="3">
        <v>0</v>
      </c>
      <c r="AS95" s="3"/>
      <c r="AT95" s="3">
        <v>0</v>
      </c>
      <c r="AU95" s="3"/>
      <c r="AV95" s="3">
        <v>0</v>
      </c>
      <c r="AW95" s="3"/>
      <c r="AX95" s="3">
        <v>0</v>
      </c>
      <c r="AY95" s="3"/>
      <c r="AZ95" s="3">
        <v>0</v>
      </c>
      <c r="BA95" s="3"/>
      <c r="BB95" s="3">
        <f t="shared" si="27"/>
        <v>1293596</v>
      </c>
      <c r="BC95" s="3"/>
      <c r="BD95" s="3">
        <v>2855</v>
      </c>
      <c r="BE95" s="3"/>
      <c r="BF95" s="3">
        <v>0</v>
      </c>
      <c r="BG95" s="3"/>
      <c r="BH95" s="3">
        <v>0</v>
      </c>
      <c r="BI95" s="3"/>
      <c r="BJ95" s="3">
        <v>0</v>
      </c>
      <c r="BK95" s="16" t="s">
        <v>335</v>
      </c>
      <c r="BM95" s="16" t="s">
        <v>175</v>
      </c>
      <c r="BN95" s="3"/>
      <c r="BO95" s="3">
        <f t="shared" si="19"/>
        <v>1296451</v>
      </c>
      <c r="BP95" s="3"/>
      <c r="BQ95" s="3">
        <f>GenRev!AW95-BO95</f>
        <v>324235</v>
      </c>
      <c r="BR95" s="3"/>
      <c r="BS95" s="3">
        <v>281687</v>
      </c>
      <c r="BT95" s="3"/>
      <c r="BU95" s="3">
        <v>0</v>
      </c>
      <c r="BV95" s="3"/>
      <c r="BW95" s="3">
        <f t="shared" si="28"/>
        <v>605922</v>
      </c>
      <c r="BX95" s="3"/>
      <c r="BY95" s="17">
        <f>+BW95-GenBS!AE95</f>
        <v>0</v>
      </c>
      <c r="CB95" s="90" t="s">
        <v>320</v>
      </c>
      <c r="CC95" s="3" t="str">
        <f t="shared" si="20"/>
        <v>Lawrence County Educ Srv Ctr</v>
      </c>
      <c r="CD95" s="3" t="b">
        <f t="shared" si="21"/>
        <v>1</v>
      </c>
      <c r="CE95" s="3" t="b">
        <f t="shared" si="22"/>
        <v>1</v>
      </c>
      <c r="CF95" s="3" t="str">
        <f>GenRev!A95</f>
        <v>Lawrence County Educ Srv Ctr</v>
      </c>
      <c r="CG95" s="16" t="b">
        <f t="shared" si="23"/>
        <v>1</v>
      </c>
      <c r="CI95" s="3" t="str">
        <f t="shared" si="24"/>
        <v>Lawrence</v>
      </c>
      <c r="CJ95" s="16" t="b">
        <f t="shared" si="25"/>
        <v>1</v>
      </c>
      <c r="CK95" s="16" t="b">
        <f t="shared" si="26"/>
        <v>1</v>
      </c>
      <c r="CM95" s="16" t="b">
        <f>C95=GenRev!C95</f>
        <v>1</v>
      </c>
    </row>
    <row r="96" spans="1:91" s="16" customFormat="1">
      <c r="A96" s="3" t="s">
        <v>336</v>
      </c>
      <c r="B96" s="3"/>
      <c r="C96" s="3" t="s">
        <v>176</v>
      </c>
      <c r="G96" s="3">
        <v>0</v>
      </c>
      <c r="H96" s="3"/>
      <c r="I96" s="3">
        <v>2564586</v>
      </c>
      <c r="J96" s="3"/>
      <c r="K96" s="3">
        <v>0</v>
      </c>
      <c r="L96" s="3"/>
      <c r="M96" s="32">
        <v>0</v>
      </c>
      <c r="N96" s="3"/>
      <c r="O96" s="3">
        <v>0</v>
      </c>
      <c r="P96" s="3"/>
      <c r="Q96" s="3">
        <v>1689680</v>
      </c>
      <c r="R96" s="3"/>
      <c r="S96" s="3">
        <v>4104655</v>
      </c>
      <c r="T96" s="3"/>
      <c r="U96" s="3">
        <v>11603</v>
      </c>
      <c r="V96" s="3"/>
      <c r="W96" s="3">
        <v>821472</v>
      </c>
      <c r="X96" s="3"/>
      <c r="Y96" s="3">
        <v>237374</v>
      </c>
      <c r="Z96" s="3"/>
      <c r="AA96" s="3">
        <v>8181</v>
      </c>
      <c r="AB96" s="3"/>
      <c r="AC96" s="3">
        <v>85804</v>
      </c>
      <c r="AD96" s="3" t="s">
        <v>336</v>
      </c>
      <c r="AE96" s="3"/>
      <c r="AF96" s="3" t="s">
        <v>176</v>
      </c>
      <c r="AG96" s="3"/>
      <c r="AH96" s="3">
        <v>0</v>
      </c>
      <c r="AI96" s="3"/>
      <c r="AJ96" s="3">
        <v>419087</v>
      </c>
      <c r="AK96" s="3"/>
      <c r="AL96" s="3">
        <v>0</v>
      </c>
      <c r="AM96" s="3"/>
      <c r="AN96" s="3">
        <v>0</v>
      </c>
      <c r="AO96" s="3"/>
      <c r="AP96" s="3">
        <v>0</v>
      </c>
      <c r="AQ96" s="3"/>
      <c r="AR96" s="3">
        <v>0</v>
      </c>
      <c r="AS96" s="3"/>
      <c r="AT96" s="3">
        <v>0</v>
      </c>
      <c r="AU96" s="3"/>
      <c r="AV96" s="3">
        <v>0</v>
      </c>
      <c r="AW96" s="3"/>
      <c r="AX96" s="3">
        <v>29845</v>
      </c>
      <c r="AY96" s="3"/>
      <c r="AZ96" s="3">
        <v>6769</v>
      </c>
      <c r="BA96" s="3"/>
      <c r="BB96" s="3">
        <f t="shared" si="27"/>
        <v>9979056</v>
      </c>
      <c r="BC96" s="3"/>
      <c r="BD96" s="3">
        <v>0</v>
      </c>
      <c r="BE96" s="3"/>
      <c r="BF96" s="3">
        <v>0</v>
      </c>
      <c r="BG96" s="3"/>
      <c r="BH96" s="3">
        <v>0</v>
      </c>
      <c r="BI96" s="3"/>
      <c r="BJ96" s="3">
        <v>0</v>
      </c>
      <c r="BK96" s="3" t="s">
        <v>336</v>
      </c>
      <c r="BL96" s="3"/>
      <c r="BM96" s="3" t="s">
        <v>176</v>
      </c>
      <c r="BN96" s="3"/>
      <c r="BO96" s="3">
        <f t="shared" si="19"/>
        <v>9979056</v>
      </c>
      <c r="BP96" s="3"/>
      <c r="BQ96" s="3">
        <f>GenRev!AW96-BO96</f>
        <v>258994</v>
      </c>
      <c r="BR96" s="3"/>
      <c r="BS96" s="3">
        <v>-130435</v>
      </c>
      <c r="BT96" s="3"/>
      <c r="BU96" s="3">
        <v>0</v>
      </c>
      <c r="BV96" s="3"/>
      <c r="BW96" s="3">
        <f t="shared" si="28"/>
        <v>128559</v>
      </c>
      <c r="BX96" s="3"/>
      <c r="BY96" s="17">
        <f>+BW96-GenBS!AE96</f>
        <v>0</v>
      </c>
      <c r="CB96" s="3"/>
      <c r="CC96" s="3" t="str">
        <f t="shared" si="20"/>
        <v>Licking County Educ Srv Ctr</v>
      </c>
      <c r="CD96" s="3" t="b">
        <f t="shared" si="21"/>
        <v>1</v>
      </c>
      <c r="CE96" s="3" t="b">
        <f t="shared" si="22"/>
        <v>1</v>
      </c>
      <c r="CF96" s="3" t="str">
        <f>GenRev!A96</f>
        <v>Licking County Educ Srv Ctr</v>
      </c>
      <c r="CG96" s="16" t="b">
        <f t="shared" si="23"/>
        <v>1</v>
      </c>
      <c r="CI96" s="3" t="str">
        <f t="shared" si="24"/>
        <v>Licking</v>
      </c>
      <c r="CJ96" s="16" t="b">
        <f t="shared" si="25"/>
        <v>1</v>
      </c>
      <c r="CK96" s="16" t="b">
        <f t="shared" si="26"/>
        <v>1</v>
      </c>
      <c r="CM96" s="16" t="b">
        <f>C96=GenRev!C96</f>
        <v>1</v>
      </c>
    </row>
    <row r="97" spans="1:91" s="16" customFormat="1">
      <c r="A97" s="16" t="s">
        <v>337</v>
      </c>
      <c r="C97" s="16" t="s">
        <v>177</v>
      </c>
      <c r="E97" s="16">
        <v>48058</v>
      </c>
      <c r="G97" s="3">
        <v>0</v>
      </c>
      <c r="H97" s="3"/>
      <c r="I97" s="3">
        <v>1403057</v>
      </c>
      <c r="J97" s="3"/>
      <c r="K97" s="3">
        <v>0</v>
      </c>
      <c r="L97" s="3"/>
      <c r="M97" s="32">
        <v>0</v>
      </c>
      <c r="N97" s="3"/>
      <c r="O97" s="3">
        <v>0</v>
      </c>
      <c r="P97" s="3"/>
      <c r="Q97" s="3">
        <v>439071</v>
      </c>
      <c r="R97" s="3"/>
      <c r="S97" s="3">
        <v>285522</v>
      </c>
      <c r="T97" s="3"/>
      <c r="U97" s="3">
        <v>12045</v>
      </c>
      <c r="V97" s="3"/>
      <c r="W97" s="3">
        <v>147371</v>
      </c>
      <c r="X97" s="3"/>
      <c r="Y97" s="3">
        <v>278577</v>
      </c>
      <c r="Z97" s="3"/>
      <c r="AA97" s="3">
        <v>0</v>
      </c>
      <c r="AB97" s="3"/>
      <c r="AC97" s="3">
        <v>9088</v>
      </c>
      <c r="AD97" s="16" t="s">
        <v>337</v>
      </c>
      <c r="AF97" s="16" t="s">
        <v>177</v>
      </c>
      <c r="AH97" s="3">
        <v>0</v>
      </c>
      <c r="AI97" s="3"/>
      <c r="AJ97" s="3">
        <v>28968</v>
      </c>
      <c r="AK97" s="3"/>
      <c r="AL97" s="3">
        <v>0</v>
      </c>
      <c r="AM97" s="3"/>
      <c r="AN97" s="3">
        <v>0</v>
      </c>
      <c r="AO97" s="3"/>
      <c r="AP97" s="3">
        <v>38870</v>
      </c>
      <c r="AQ97" s="3"/>
      <c r="AR97" s="3">
        <v>0</v>
      </c>
      <c r="AS97" s="3"/>
      <c r="AT97" s="3">
        <v>0</v>
      </c>
      <c r="AU97" s="3"/>
      <c r="AV97" s="3">
        <v>0</v>
      </c>
      <c r="AW97" s="3"/>
      <c r="AX97" s="3">
        <v>0</v>
      </c>
      <c r="AY97" s="3"/>
      <c r="AZ97" s="3">
        <v>0</v>
      </c>
      <c r="BA97" s="3"/>
      <c r="BB97" s="3">
        <f t="shared" si="27"/>
        <v>2642569</v>
      </c>
      <c r="BC97" s="3"/>
      <c r="BD97" s="3">
        <v>0</v>
      </c>
      <c r="BE97" s="3"/>
      <c r="BF97" s="3">
        <v>0</v>
      </c>
      <c r="BG97" s="3"/>
      <c r="BH97" s="3">
        <v>0</v>
      </c>
      <c r="BI97" s="3"/>
      <c r="BJ97" s="3">
        <v>0</v>
      </c>
      <c r="BK97" s="16" t="s">
        <v>337</v>
      </c>
      <c r="BM97" s="16" t="s">
        <v>177</v>
      </c>
      <c r="BN97" s="3"/>
      <c r="BO97" s="3">
        <f t="shared" si="19"/>
        <v>2642569</v>
      </c>
      <c r="BP97" s="3"/>
      <c r="BQ97" s="3">
        <f>GenRev!AW97-BO97</f>
        <v>603</v>
      </c>
      <c r="BR97" s="3"/>
      <c r="BS97" s="3">
        <v>367060</v>
      </c>
      <c r="BT97" s="3"/>
      <c r="BU97" s="3">
        <v>0</v>
      </c>
      <c r="BV97" s="3"/>
      <c r="BW97" s="3">
        <f t="shared" si="28"/>
        <v>367663</v>
      </c>
      <c r="BX97" s="3"/>
      <c r="BY97" s="17">
        <f>+BW97-GenBS!AE97</f>
        <v>0</v>
      </c>
      <c r="CB97" s="90" t="s">
        <v>320</v>
      </c>
      <c r="CC97" s="3" t="str">
        <f t="shared" si="20"/>
        <v>Logan County Educ Srv Ctr</v>
      </c>
      <c r="CD97" s="3" t="b">
        <f t="shared" si="21"/>
        <v>1</v>
      </c>
      <c r="CE97" s="3" t="b">
        <f t="shared" si="22"/>
        <v>1</v>
      </c>
      <c r="CF97" s="3" t="str">
        <f>GenRev!A97</f>
        <v>Logan County Educ Srv Ctr</v>
      </c>
      <c r="CG97" s="16" t="b">
        <f t="shared" si="23"/>
        <v>1</v>
      </c>
      <c r="CI97" s="3" t="str">
        <f t="shared" si="24"/>
        <v>Logan</v>
      </c>
      <c r="CJ97" s="16" t="b">
        <f t="shared" si="25"/>
        <v>1</v>
      </c>
      <c r="CK97" s="16" t="b">
        <f t="shared" si="26"/>
        <v>1</v>
      </c>
      <c r="CM97" s="16" t="b">
        <f>C97=GenRev!C97</f>
        <v>1</v>
      </c>
    </row>
    <row r="98" spans="1:91" s="16" customFormat="1">
      <c r="A98" s="16" t="s">
        <v>338</v>
      </c>
      <c r="C98" s="16" t="s">
        <v>145</v>
      </c>
      <c r="E98" s="16">
        <v>48108</v>
      </c>
      <c r="G98" s="3">
        <v>1097490</v>
      </c>
      <c r="H98" s="3"/>
      <c r="I98" s="3">
        <v>1119476</v>
      </c>
      <c r="J98" s="3"/>
      <c r="K98" s="3">
        <v>0</v>
      </c>
      <c r="L98" s="3"/>
      <c r="M98" s="32">
        <v>0</v>
      </c>
      <c r="N98" s="3"/>
      <c r="O98" s="3">
        <v>0</v>
      </c>
      <c r="P98" s="3"/>
      <c r="Q98" s="3">
        <v>1646974</v>
      </c>
      <c r="R98" s="3"/>
      <c r="S98" s="3">
        <v>3534986</v>
      </c>
      <c r="T98" s="3"/>
      <c r="U98" s="3">
        <v>33280</v>
      </c>
      <c r="V98" s="3"/>
      <c r="W98" s="3">
        <v>682371</v>
      </c>
      <c r="X98" s="3"/>
      <c r="Y98" s="3">
        <v>282909</v>
      </c>
      <c r="Z98" s="3"/>
      <c r="AA98" s="3">
        <v>478038</v>
      </c>
      <c r="AB98" s="3"/>
      <c r="AC98" s="3">
        <v>327365</v>
      </c>
      <c r="AD98" s="16" t="s">
        <v>338</v>
      </c>
      <c r="AF98" s="16" t="s">
        <v>145</v>
      </c>
      <c r="AH98" s="3">
        <v>0</v>
      </c>
      <c r="AI98" s="3"/>
      <c r="AJ98" s="3">
        <v>0</v>
      </c>
      <c r="AK98" s="3"/>
      <c r="AL98" s="3">
        <v>0</v>
      </c>
      <c r="AM98" s="3"/>
      <c r="AN98" s="3">
        <v>0</v>
      </c>
      <c r="AO98" s="3"/>
      <c r="AP98" s="3">
        <f>9825+3331</f>
        <v>13156</v>
      </c>
      <c r="AQ98" s="3"/>
      <c r="AR98" s="3">
        <v>0</v>
      </c>
      <c r="AS98" s="3"/>
      <c r="AT98" s="3">
        <v>5157</v>
      </c>
      <c r="AU98" s="3"/>
      <c r="AV98" s="3">
        <v>0</v>
      </c>
      <c r="AW98" s="3"/>
      <c r="AX98" s="3">
        <v>0</v>
      </c>
      <c r="AY98" s="3"/>
      <c r="AZ98" s="3">
        <v>0</v>
      </c>
      <c r="BA98" s="3"/>
      <c r="BB98" s="3">
        <f t="shared" si="27"/>
        <v>9221202</v>
      </c>
      <c r="BC98" s="3"/>
      <c r="BD98" s="3">
        <v>8700</v>
      </c>
      <c r="BE98" s="3"/>
      <c r="BF98" s="3">
        <v>0</v>
      </c>
      <c r="BG98" s="3"/>
      <c r="BH98" s="3">
        <v>0</v>
      </c>
      <c r="BI98" s="3"/>
      <c r="BJ98" s="3">
        <v>0</v>
      </c>
      <c r="BK98" s="16" t="s">
        <v>338</v>
      </c>
      <c r="BM98" s="16" t="s">
        <v>145</v>
      </c>
      <c r="BN98" s="3"/>
      <c r="BO98" s="3">
        <f t="shared" si="19"/>
        <v>9229902</v>
      </c>
      <c r="BP98" s="3"/>
      <c r="BQ98" s="3">
        <f>GenRev!AW98-BO98</f>
        <v>-563364</v>
      </c>
      <c r="BR98" s="3"/>
      <c r="BS98" s="3">
        <v>3023574</v>
      </c>
      <c r="BT98" s="3"/>
      <c r="BU98" s="3">
        <v>0</v>
      </c>
      <c r="BV98" s="3"/>
      <c r="BW98" s="3">
        <f t="shared" si="28"/>
        <v>2460210</v>
      </c>
      <c r="BX98" s="3"/>
      <c r="BY98" s="17">
        <f>+BW98-GenBS!AE98</f>
        <v>0</v>
      </c>
      <c r="CB98" s="16" t="s">
        <v>388</v>
      </c>
      <c r="CC98" s="3" t="str">
        <f t="shared" si="20"/>
        <v>Lorain County Educ Srv Ctr</v>
      </c>
      <c r="CD98" s="3" t="b">
        <f t="shared" si="21"/>
        <v>1</v>
      </c>
      <c r="CE98" s="3" t="b">
        <f t="shared" si="22"/>
        <v>1</v>
      </c>
      <c r="CF98" s="3" t="str">
        <f>GenRev!A98</f>
        <v>Lorain County Educ Srv Ctr</v>
      </c>
      <c r="CG98" s="16" t="b">
        <f t="shared" si="23"/>
        <v>1</v>
      </c>
      <c r="CI98" s="3" t="str">
        <f t="shared" si="24"/>
        <v>Lorain</v>
      </c>
      <c r="CJ98" s="16" t="b">
        <f t="shared" si="25"/>
        <v>1</v>
      </c>
      <c r="CK98" s="16" t="b">
        <f t="shared" si="26"/>
        <v>1</v>
      </c>
      <c r="CM98" s="16" t="b">
        <f>C98=GenRev!C98</f>
        <v>1</v>
      </c>
    </row>
    <row r="99" spans="1:91" s="16" customFormat="1">
      <c r="A99" s="16" t="s">
        <v>339</v>
      </c>
      <c r="C99" s="16" t="s">
        <v>178</v>
      </c>
      <c r="E99" s="16">
        <v>48199</v>
      </c>
      <c r="G99" s="3">
        <v>28587</v>
      </c>
      <c r="H99" s="3"/>
      <c r="I99" s="3">
        <v>5140560</v>
      </c>
      <c r="J99" s="3"/>
      <c r="K99" s="3">
        <v>96724</v>
      </c>
      <c r="L99" s="3"/>
      <c r="M99" s="32">
        <v>0</v>
      </c>
      <c r="N99" s="3"/>
      <c r="O99" s="3">
        <v>160536</v>
      </c>
      <c r="P99" s="3"/>
      <c r="Q99" s="3">
        <v>4794985</v>
      </c>
      <c r="R99" s="3"/>
      <c r="S99" s="3">
        <v>2006024</v>
      </c>
      <c r="T99" s="3"/>
      <c r="U99" s="3">
        <v>27876</v>
      </c>
      <c r="V99" s="3"/>
      <c r="W99" s="3">
        <v>2163857</v>
      </c>
      <c r="X99" s="3"/>
      <c r="Y99" s="3">
        <v>1008533</v>
      </c>
      <c r="Z99" s="3"/>
      <c r="AA99" s="3">
        <v>65236</v>
      </c>
      <c r="AB99" s="3"/>
      <c r="AC99" s="3">
        <v>955771</v>
      </c>
      <c r="AD99" s="16" t="s">
        <v>339</v>
      </c>
      <c r="AF99" s="16" t="s">
        <v>178</v>
      </c>
      <c r="AH99" s="3">
        <v>1866</v>
      </c>
      <c r="AI99" s="3"/>
      <c r="AJ99" s="3">
        <v>258712</v>
      </c>
      <c r="AK99" s="3"/>
      <c r="AL99" s="3">
        <v>0</v>
      </c>
      <c r="AM99" s="3"/>
      <c r="AN99" s="3">
        <v>0</v>
      </c>
      <c r="AO99" s="3"/>
      <c r="AP99" s="3">
        <v>152941</v>
      </c>
      <c r="AQ99" s="3"/>
      <c r="AR99" s="3">
        <v>0</v>
      </c>
      <c r="AS99" s="3"/>
      <c r="AT99" s="3">
        <v>100895</v>
      </c>
      <c r="AU99" s="3"/>
      <c r="AV99" s="3">
        <v>0</v>
      </c>
      <c r="AW99" s="3"/>
      <c r="AX99" s="3">
        <v>1963</v>
      </c>
      <c r="AY99" s="3"/>
      <c r="AZ99" s="3">
        <v>546</v>
      </c>
      <c r="BA99" s="3"/>
      <c r="BB99" s="3">
        <f t="shared" si="27"/>
        <v>16965612</v>
      </c>
      <c r="BC99" s="3"/>
      <c r="BD99" s="3">
        <v>194305</v>
      </c>
      <c r="BE99" s="3"/>
      <c r="BF99" s="3">
        <v>0</v>
      </c>
      <c r="BG99" s="3"/>
      <c r="BH99" s="3">
        <v>0</v>
      </c>
      <c r="BI99" s="3"/>
      <c r="BJ99" s="3">
        <v>0</v>
      </c>
      <c r="BK99" s="16" t="s">
        <v>339</v>
      </c>
      <c r="BM99" s="16" t="s">
        <v>178</v>
      </c>
      <c r="BN99" s="3"/>
      <c r="BO99" s="3">
        <f t="shared" si="19"/>
        <v>17159917</v>
      </c>
      <c r="BP99" s="3"/>
      <c r="BQ99" s="3">
        <f>GenRev!AW99-BO99</f>
        <v>-597869</v>
      </c>
      <c r="BR99" s="3"/>
      <c r="BS99" s="3">
        <v>2978145</v>
      </c>
      <c r="BT99" s="3"/>
      <c r="BU99" s="3">
        <v>0</v>
      </c>
      <c r="BV99" s="3"/>
      <c r="BW99" s="3">
        <f t="shared" si="28"/>
        <v>2380276</v>
      </c>
      <c r="BX99" s="3"/>
      <c r="BY99" s="17">
        <f>+BW99-GenBS!AE99</f>
        <v>0</v>
      </c>
      <c r="CB99" s="3"/>
      <c r="CC99" s="3" t="str">
        <f t="shared" si="20"/>
        <v>Lucas County Educ Srv Ctr</v>
      </c>
      <c r="CD99" s="3" t="b">
        <f t="shared" si="21"/>
        <v>1</v>
      </c>
      <c r="CE99" s="3" t="b">
        <f t="shared" si="22"/>
        <v>1</v>
      </c>
      <c r="CF99" s="3" t="str">
        <f>GenRev!A99</f>
        <v>Lucas County Educ Srv Ctr</v>
      </c>
      <c r="CG99" s="16" t="b">
        <f t="shared" si="23"/>
        <v>1</v>
      </c>
      <c r="CI99" s="3" t="str">
        <f t="shared" si="24"/>
        <v>Lucas</v>
      </c>
      <c r="CJ99" s="16" t="b">
        <f t="shared" si="25"/>
        <v>1</v>
      </c>
      <c r="CK99" s="16" t="b">
        <f t="shared" si="26"/>
        <v>1</v>
      </c>
      <c r="CM99" s="16" t="b">
        <f>C99=GenRev!C99</f>
        <v>1</v>
      </c>
    </row>
    <row r="100" spans="1:91" s="66" customFormat="1" hidden="1">
      <c r="A100" s="65" t="s">
        <v>391</v>
      </c>
      <c r="C100" s="66" t="s">
        <v>154</v>
      </c>
      <c r="E100" s="66">
        <v>137364</v>
      </c>
      <c r="G100" s="65"/>
      <c r="H100" s="65"/>
      <c r="I100" s="65"/>
      <c r="J100" s="65"/>
      <c r="K100" s="65"/>
      <c r="L100" s="65"/>
      <c r="M100" s="80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 t="s">
        <v>391</v>
      </c>
      <c r="AF100" s="66" t="s">
        <v>154</v>
      </c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>
        <f t="shared" si="27"/>
        <v>0</v>
      </c>
      <c r="BC100" s="65"/>
      <c r="BD100" s="65"/>
      <c r="BE100" s="65"/>
      <c r="BF100" s="65"/>
      <c r="BG100" s="65"/>
      <c r="BH100" s="65"/>
      <c r="BI100" s="65"/>
      <c r="BJ100" s="65"/>
      <c r="BK100" s="65" t="s">
        <v>391</v>
      </c>
      <c r="BM100" s="66" t="s">
        <v>154</v>
      </c>
      <c r="BN100" s="65"/>
      <c r="BO100" s="65">
        <f t="shared" si="19"/>
        <v>0</v>
      </c>
      <c r="BP100" s="65"/>
      <c r="BQ100" s="65">
        <f>GenRev!AW100-BO100</f>
        <v>0</v>
      </c>
      <c r="BR100" s="65"/>
      <c r="BS100" s="65"/>
      <c r="BT100" s="65"/>
      <c r="BU100" s="65"/>
      <c r="BV100" s="65"/>
      <c r="BW100" s="3">
        <f t="shared" si="28"/>
        <v>0</v>
      </c>
      <c r="BX100" s="65"/>
      <c r="BY100" s="67">
        <f>+BW100-GenBS!AE100</f>
        <v>0</v>
      </c>
      <c r="CB100" s="65" t="s">
        <v>390</v>
      </c>
      <c r="CC100" s="65" t="str">
        <f t="shared" si="20"/>
        <v>Madison-Champaign Educ Srv Ctr (CASH)</v>
      </c>
      <c r="CD100" s="65" t="b">
        <f t="shared" si="21"/>
        <v>1</v>
      </c>
      <c r="CE100" s="65" t="b">
        <f t="shared" si="22"/>
        <v>1</v>
      </c>
      <c r="CF100" s="65" t="str">
        <f>GenRev!A100</f>
        <v>Madison-Champaign Educ Srv Ctr (CASH)</v>
      </c>
      <c r="CG100" s="66" t="b">
        <f t="shared" si="23"/>
        <v>1</v>
      </c>
      <c r="CI100" s="65" t="str">
        <f t="shared" si="24"/>
        <v>Champaign</v>
      </c>
      <c r="CJ100" s="66" t="b">
        <f t="shared" si="25"/>
        <v>1</v>
      </c>
      <c r="CK100" s="66" t="b">
        <f t="shared" si="26"/>
        <v>1</v>
      </c>
      <c r="CM100" s="66" t="b">
        <f>C100=GenRev!C100</f>
        <v>1</v>
      </c>
    </row>
    <row r="101" spans="1:91" s="16" customFormat="1">
      <c r="A101" s="3" t="s">
        <v>392</v>
      </c>
      <c r="C101" s="16" t="s">
        <v>179</v>
      </c>
      <c r="E101" s="16">
        <v>48280</v>
      </c>
      <c r="G101" s="3">
        <v>1926095</v>
      </c>
      <c r="H101" s="3"/>
      <c r="I101" s="3">
        <v>6047119</v>
      </c>
      <c r="J101" s="3"/>
      <c r="K101" s="3">
        <v>62880</v>
      </c>
      <c r="L101" s="3"/>
      <c r="M101" s="32">
        <v>0</v>
      </c>
      <c r="N101" s="3"/>
      <c r="O101" s="3">
        <v>0</v>
      </c>
      <c r="P101" s="3"/>
      <c r="Q101" s="3">
        <v>4676393</v>
      </c>
      <c r="R101" s="3"/>
      <c r="S101" s="3">
        <v>2717757</v>
      </c>
      <c r="T101" s="3"/>
      <c r="U101" s="3">
        <v>81470</v>
      </c>
      <c r="V101" s="3"/>
      <c r="W101" s="3">
        <v>661854</v>
      </c>
      <c r="X101" s="3"/>
      <c r="Y101" s="3">
        <v>541573</v>
      </c>
      <c r="Z101" s="3"/>
      <c r="AA101" s="3">
        <v>311109</v>
      </c>
      <c r="AB101" s="3"/>
      <c r="AC101" s="3">
        <v>236332</v>
      </c>
      <c r="AD101" s="3" t="s">
        <v>392</v>
      </c>
      <c r="AF101" s="16" t="s">
        <v>179</v>
      </c>
      <c r="AH101" s="3">
        <v>0</v>
      </c>
      <c r="AI101" s="3"/>
      <c r="AJ101" s="3">
        <v>650729</v>
      </c>
      <c r="AK101" s="3"/>
      <c r="AL101" s="3">
        <v>0</v>
      </c>
      <c r="AM101" s="3"/>
      <c r="AN101" s="3">
        <v>0</v>
      </c>
      <c r="AO101" s="3"/>
      <c r="AP101" s="3">
        <v>155077</v>
      </c>
      <c r="AQ101" s="3"/>
      <c r="AR101" s="3">
        <v>0</v>
      </c>
      <c r="AS101" s="3"/>
      <c r="AT101" s="3">
        <v>0</v>
      </c>
      <c r="AU101" s="3"/>
      <c r="AV101" s="3">
        <v>0</v>
      </c>
      <c r="AW101" s="3"/>
      <c r="AX101" s="3">
        <v>0</v>
      </c>
      <c r="AY101" s="3"/>
      <c r="AZ101" s="3">
        <v>0</v>
      </c>
      <c r="BA101" s="3"/>
      <c r="BB101" s="3">
        <f t="shared" si="27"/>
        <v>18068388</v>
      </c>
      <c r="BC101" s="3"/>
      <c r="BD101" s="3">
        <v>120000</v>
      </c>
      <c r="BE101" s="3"/>
      <c r="BF101" s="3">
        <v>0</v>
      </c>
      <c r="BG101" s="3"/>
      <c r="BH101" s="3">
        <v>0</v>
      </c>
      <c r="BI101" s="3"/>
      <c r="BJ101" s="3">
        <v>0</v>
      </c>
      <c r="BK101" s="3" t="s">
        <v>392</v>
      </c>
      <c r="BM101" s="16" t="s">
        <v>179</v>
      </c>
      <c r="BN101" s="3"/>
      <c r="BO101" s="3">
        <f t="shared" ref="BO101:BO130" si="29">+BJ101+BF101+BD101+BB101</f>
        <v>18188388</v>
      </c>
      <c r="BP101" s="3"/>
      <c r="BQ101" s="3">
        <f>GenRev!AW101-BO101</f>
        <v>-1121863</v>
      </c>
      <c r="BR101" s="3"/>
      <c r="BS101" s="3">
        <v>1287398</v>
      </c>
      <c r="BT101" s="3"/>
      <c r="BU101" s="3">
        <v>0</v>
      </c>
      <c r="BV101" s="3"/>
      <c r="BW101" s="3">
        <f t="shared" si="28"/>
        <v>165535</v>
      </c>
      <c r="BX101" s="3"/>
      <c r="BY101" s="17">
        <f>+BW101-GenBS!AE101</f>
        <v>0</v>
      </c>
      <c r="CB101" s="3"/>
      <c r="CC101" s="3" t="str">
        <f t="shared" ref="CC101:CC130" si="30">A101</f>
        <v>Mahoning County Educ Srv Ctr</v>
      </c>
      <c r="CD101" s="3" t="b">
        <f t="shared" ref="CD101:CD130" si="31">A101=AD101</f>
        <v>1</v>
      </c>
      <c r="CE101" s="3" t="b">
        <f t="shared" ref="CE101:CE130" si="32">A101=BK101</f>
        <v>1</v>
      </c>
      <c r="CF101" s="3" t="str">
        <f>GenRev!A101</f>
        <v>Mahoning County Educ Srv Ctr</v>
      </c>
      <c r="CG101" s="16" t="b">
        <f t="shared" ref="CG101:CG130" si="33">CC101=CF101</f>
        <v>1</v>
      </c>
      <c r="CI101" s="3" t="str">
        <f t="shared" ref="CI101:CI130" si="34">C101</f>
        <v>Mahoning</v>
      </c>
      <c r="CJ101" s="16" t="b">
        <f t="shared" ref="CJ101:CJ130" si="35">C101=AF101</f>
        <v>1</v>
      </c>
      <c r="CK101" s="16" t="b">
        <f t="shared" ref="CK101:CK130" si="36">C101=BM101</f>
        <v>1</v>
      </c>
      <c r="CM101" s="16" t="b">
        <f>C101=GenRev!C101</f>
        <v>1</v>
      </c>
    </row>
    <row r="102" spans="1:91" s="16" customFormat="1">
      <c r="A102" s="3" t="s">
        <v>180</v>
      </c>
      <c r="C102" s="16" t="s">
        <v>181</v>
      </c>
      <c r="E102" s="16">
        <v>48454</v>
      </c>
      <c r="G102" s="3">
        <v>1428450</v>
      </c>
      <c r="H102" s="3"/>
      <c r="I102" s="3">
        <v>369951</v>
      </c>
      <c r="J102" s="3"/>
      <c r="K102" s="3">
        <v>1596</v>
      </c>
      <c r="L102" s="3"/>
      <c r="M102" s="32">
        <v>0</v>
      </c>
      <c r="N102" s="3"/>
      <c r="O102" s="3">
        <v>0</v>
      </c>
      <c r="P102" s="3"/>
      <c r="Q102" s="3">
        <v>1163113</v>
      </c>
      <c r="R102" s="3"/>
      <c r="S102" s="3">
        <v>2803109</v>
      </c>
      <c r="T102" s="3"/>
      <c r="U102" s="3">
        <v>43865</v>
      </c>
      <c r="V102" s="3"/>
      <c r="W102" s="3">
        <v>311698</v>
      </c>
      <c r="X102" s="3"/>
      <c r="Y102" s="3">
        <v>227026</v>
      </c>
      <c r="Z102" s="3"/>
      <c r="AA102" s="3">
        <v>344439</v>
      </c>
      <c r="AB102" s="3"/>
      <c r="AC102" s="3">
        <v>0</v>
      </c>
      <c r="AD102" s="3" t="s">
        <v>180</v>
      </c>
      <c r="AF102" s="16" t="s">
        <v>181</v>
      </c>
      <c r="AH102" s="3">
        <v>13681</v>
      </c>
      <c r="AI102" s="3"/>
      <c r="AJ102" s="3">
        <v>423241</v>
      </c>
      <c r="AK102" s="3"/>
      <c r="AL102" s="3">
        <v>0</v>
      </c>
      <c r="AM102" s="3"/>
      <c r="AN102" s="3">
        <v>0</v>
      </c>
      <c r="AO102" s="3"/>
      <c r="AP102" s="3">
        <v>12177</v>
      </c>
      <c r="AQ102" s="3"/>
      <c r="AR102" s="3">
        <v>20092</v>
      </c>
      <c r="AS102" s="3"/>
      <c r="AT102" s="3">
        <v>0</v>
      </c>
      <c r="AU102" s="3"/>
      <c r="AV102" s="3">
        <v>0</v>
      </c>
      <c r="AW102" s="3"/>
      <c r="AX102" s="3">
        <v>0</v>
      </c>
      <c r="AY102" s="3"/>
      <c r="AZ102" s="3">
        <v>0</v>
      </c>
      <c r="BA102" s="3"/>
      <c r="BB102" s="3">
        <f t="shared" si="27"/>
        <v>7162438</v>
      </c>
      <c r="BC102" s="3"/>
      <c r="BD102" s="3">
        <v>1761</v>
      </c>
      <c r="BE102" s="3"/>
      <c r="BF102" s="3">
        <v>0</v>
      </c>
      <c r="BG102" s="3"/>
      <c r="BH102" s="3">
        <v>0</v>
      </c>
      <c r="BI102" s="3"/>
      <c r="BJ102" s="3">
        <v>0</v>
      </c>
      <c r="BK102" s="3" t="s">
        <v>180</v>
      </c>
      <c r="BM102" s="16" t="s">
        <v>181</v>
      </c>
      <c r="BN102" s="3"/>
      <c r="BO102" s="3">
        <f t="shared" si="29"/>
        <v>7164199</v>
      </c>
      <c r="BP102" s="3"/>
      <c r="BQ102" s="3">
        <f>GenRev!AW102-BO102</f>
        <v>-473883</v>
      </c>
      <c r="BR102" s="3"/>
      <c r="BS102" s="3">
        <v>2123364</v>
      </c>
      <c r="BT102" s="3"/>
      <c r="BU102" s="3">
        <v>0</v>
      </c>
      <c r="BV102" s="3"/>
      <c r="BW102" s="3">
        <f t="shared" si="28"/>
        <v>1649481</v>
      </c>
      <c r="BX102" s="3"/>
      <c r="BY102" s="17">
        <f>+BW102-GenBS!AE102</f>
        <v>0</v>
      </c>
      <c r="CB102" s="3"/>
      <c r="CC102" s="3" t="str">
        <f t="shared" si="30"/>
        <v>Medina County Educ Srv Ctr</v>
      </c>
      <c r="CD102" s="3" t="b">
        <f t="shared" si="31"/>
        <v>1</v>
      </c>
      <c r="CE102" s="3" t="b">
        <f t="shared" si="32"/>
        <v>1</v>
      </c>
      <c r="CF102" s="3" t="str">
        <f>GenRev!A102</f>
        <v>Medina County Educ Srv Ctr</v>
      </c>
      <c r="CG102" s="16" t="b">
        <f t="shared" si="33"/>
        <v>1</v>
      </c>
      <c r="CI102" s="3" t="str">
        <f t="shared" si="34"/>
        <v>Medina</v>
      </c>
      <c r="CJ102" s="16" t="b">
        <f t="shared" si="35"/>
        <v>1</v>
      </c>
      <c r="CK102" s="16" t="b">
        <f t="shared" si="36"/>
        <v>1</v>
      </c>
      <c r="CM102" s="16" t="b">
        <f>C102=GenRev!C102</f>
        <v>1</v>
      </c>
    </row>
    <row r="103" spans="1:91" s="66" customFormat="1" hidden="1">
      <c r="A103" s="65" t="s">
        <v>394</v>
      </c>
      <c r="C103" s="66" t="s">
        <v>182</v>
      </c>
      <c r="E103" s="66">
        <v>48546</v>
      </c>
      <c r="G103" s="65"/>
      <c r="H103" s="65"/>
      <c r="I103" s="65"/>
      <c r="J103" s="65"/>
      <c r="K103" s="65"/>
      <c r="L103" s="65"/>
      <c r="M103" s="80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 t="s">
        <v>394</v>
      </c>
      <c r="AF103" s="66" t="s">
        <v>182</v>
      </c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>
        <f t="shared" si="27"/>
        <v>0</v>
      </c>
      <c r="BC103" s="65"/>
      <c r="BD103" s="65"/>
      <c r="BE103" s="65"/>
      <c r="BF103" s="65"/>
      <c r="BG103" s="65"/>
      <c r="BH103" s="65"/>
      <c r="BI103" s="65"/>
      <c r="BJ103" s="65"/>
      <c r="BK103" s="65" t="s">
        <v>394</v>
      </c>
      <c r="BM103" s="66" t="s">
        <v>182</v>
      </c>
      <c r="BN103" s="65"/>
      <c r="BO103" s="65">
        <f t="shared" si="29"/>
        <v>0</v>
      </c>
      <c r="BP103" s="65"/>
      <c r="BQ103" s="65">
        <f>GenRev!AW103-BO103</f>
        <v>0</v>
      </c>
      <c r="BR103" s="65"/>
      <c r="BS103" s="65"/>
      <c r="BT103" s="65"/>
      <c r="BU103" s="65"/>
      <c r="BV103" s="65"/>
      <c r="BW103" s="3">
        <f t="shared" si="28"/>
        <v>0</v>
      </c>
      <c r="BX103" s="65"/>
      <c r="BY103" s="67">
        <f>+BW103-GenBS!AE103</f>
        <v>0</v>
      </c>
      <c r="CB103" s="80" t="s">
        <v>393</v>
      </c>
      <c r="CC103" s="65" t="str">
        <f t="shared" si="30"/>
        <v>Mercer County Educ Srv Ctr (CASH)</v>
      </c>
      <c r="CD103" s="65" t="b">
        <f t="shared" si="31"/>
        <v>1</v>
      </c>
      <c r="CE103" s="65" t="b">
        <f t="shared" si="32"/>
        <v>1</v>
      </c>
      <c r="CF103" s="65" t="str">
        <f>GenRev!A103</f>
        <v>Mercer County Educ Srv Ctr (CASH)</v>
      </c>
      <c r="CG103" s="66" t="b">
        <f t="shared" si="33"/>
        <v>1</v>
      </c>
      <c r="CI103" s="65" t="str">
        <f t="shared" si="34"/>
        <v>Mercer</v>
      </c>
      <c r="CJ103" s="66" t="b">
        <f t="shared" si="35"/>
        <v>1</v>
      </c>
      <c r="CK103" s="66" t="b">
        <f t="shared" si="36"/>
        <v>1</v>
      </c>
      <c r="CM103" s="66" t="b">
        <f>C103=GenRev!C103</f>
        <v>1</v>
      </c>
    </row>
    <row r="104" spans="1:91" s="16" customFormat="1">
      <c r="A104" s="3" t="s">
        <v>395</v>
      </c>
      <c r="C104" s="16" t="s">
        <v>183</v>
      </c>
      <c r="E104" s="16">
        <v>48603</v>
      </c>
      <c r="G104" s="3">
        <v>105488</v>
      </c>
      <c r="H104" s="3"/>
      <c r="I104" s="3">
        <v>4328703</v>
      </c>
      <c r="J104" s="3"/>
      <c r="K104" s="3">
        <v>0</v>
      </c>
      <c r="L104" s="3"/>
      <c r="M104" s="32">
        <v>0</v>
      </c>
      <c r="N104" s="3"/>
      <c r="O104" s="3">
        <v>0</v>
      </c>
      <c r="P104" s="3"/>
      <c r="Q104" s="3">
        <v>2696939</v>
      </c>
      <c r="R104" s="3"/>
      <c r="S104" s="3">
        <v>2605819</v>
      </c>
      <c r="T104" s="3"/>
      <c r="U104" s="3">
        <v>18382</v>
      </c>
      <c r="V104" s="3"/>
      <c r="W104" s="3">
        <v>1084744</v>
      </c>
      <c r="X104" s="3"/>
      <c r="Y104" s="3">
        <v>202801</v>
      </c>
      <c r="Z104" s="3"/>
      <c r="AA104" s="3">
        <v>0</v>
      </c>
      <c r="AB104" s="3"/>
      <c r="AC104" s="3">
        <v>101994</v>
      </c>
      <c r="AD104" s="3" t="s">
        <v>395</v>
      </c>
      <c r="AF104" s="16" t="s">
        <v>183</v>
      </c>
      <c r="AH104" s="3">
        <v>8277</v>
      </c>
      <c r="AI104" s="3"/>
      <c r="AJ104" s="3">
        <v>203839</v>
      </c>
      <c r="AK104" s="3"/>
      <c r="AL104" s="3">
        <v>0</v>
      </c>
      <c r="AM104" s="3"/>
      <c r="AN104" s="3">
        <v>0</v>
      </c>
      <c r="AO104" s="3"/>
      <c r="AP104" s="3">
        <v>0</v>
      </c>
      <c r="AQ104" s="3"/>
      <c r="AR104" s="3">
        <v>6997</v>
      </c>
      <c r="AS104" s="3"/>
      <c r="AT104" s="3">
        <v>40250</v>
      </c>
      <c r="AU104" s="3"/>
      <c r="AV104" s="3">
        <v>0</v>
      </c>
      <c r="AW104" s="3"/>
      <c r="AX104" s="3">
        <v>6978</v>
      </c>
      <c r="AY104" s="3"/>
      <c r="AZ104" s="3">
        <v>5993</v>
      </c>
      <c r="BA104" s="3"/>
      <c r="BB104" s="3">
        <f t="shared" si="27"/>
        <v>11417204</v>
      </c>
      <c r="BC104" s="3"/>
      <c r="BD104" s="3">
        <v>0</v>
      </c>
      <c r="BE104" s="3"/>
      <c r="BF104" s="3">
        <v>0</v>
      </c>
      <c r="BG104" s="3"/>
      <c r="BH104" s="3">
        <v>0</v>
      </c>
      <c r="BI104" s="3"/>
      <c r="BJ104" s="3">
        <v>0</v>
      </c>
      <c r="BK104" s="3" t="s">
        <v>395</v>
      </c>
      <c r="BM104" s="16" t="s">
        <v>183</v>
      </c>
      <c r="BN104" s="3"/>
      <c r="BO104" s="3">
        <f t="shared" si="29"/>
        <v>11417204</v>
      </c>
      <c r="BP104" s="3"/>
      <c r="BQ104" s="3">
        <f>GenRev!AW104-BO104</f>
        <v>204196</v>
      </c>
      <c r="BR104" s="3"/>
      <c r="BS104" s="3">
        <v>1625640</v>
      </c>
      <c r="BT104" s="3"/>
      <c r="BU104" s="3">
        <v>0</v>
      </c>
      <c r="BV104" s="3"/>
      <c r="BW104" s="3">
        <f t="shared" si="28"/>
        <v>1829836</v>
      </c>
      <c r="BX104" s="3"/>
      <c r="BY104" s="17">
        <f>+BW104-GenBS!AE104</f>
        <v>0</v>
      </c>
      <c r="CB104" s="3"/>
      <c r="CC104" s="3" t="str">
        <f t="shared" si="30"/>
        <v>Miami County Educ Srv Ctr</v>
      </c>
      <c r="CD104" s="3" t="b">
        <f t="shared" si="31"/>
        <v>1</v>
      </c>
      <c r="CE104" s="3" t="b">
        <f t="shared" si="32"/>
        <v>1</v>
      </c>
      <c r="CF104" s="3" t="str">
        <f>GenRev!A104</f>
        <v>Miami County Educ Srv Ctr</v>
      </c>
      <c r="CG104" s="16" t="b">
        <f t="shared" si="33"/>
        <v>1</v>
      </c>
      <c r="CI104" s="3" t="str">
        <f t="shared" si="34"/>
        <v>Miami</v>
      </c>
      <c r="CJ104" s="16" t="b">
        <f t="shared" si="35"/>
        <v>1</v>
      </c>
      <c r="CK104" s="16" t="b">
        <f t="shared" si="36"/>
        <v>1</v>
      </c>
      <c r="CM104" s="16" t="b">
        <f>C104=GenRev!C104</f>
        <v>1</v>
      </c>
    </row>
    <row r="105" spans="1:91" s="66" customFormat="1" hidden="1">
      <c r="A105" s="65" t="s">
        <v>293</v>
      </c>
      <c r="B105" s="65"/>
      <c r="C105" s="65" t="s">
        <v>193</v>
      </c>
      <c r="G105" s="65"/>
      <c r="H105" s="65"/>
      <c r="I105" s="65"/>
      <c r="J105" s="65"/>
      <c r="K105" s="65"/>
      <c r="L105" s="65"/>
      <c r="M105" s="80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 t="s">
        <v>293</v>
      </c>
      <c r="AE105" s="65"/>
      <c r="AF105" s="65" t="s">
        <v>193</v>
      </c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>
        <f t="shared" si="27"/>
        <v>0</v>
      </c>
      <c r="BC105" s="65"/>
      <c r="BD105" s="65"/>
      <c r="BE105" s="65"/>
      <c r="BF105" s="65"/>
      <c r="BG105" s="65"/>
      <c r="BH105" s="65"/>
      <c r="BI105" s="65"/>
      <c r="BJ105" s="65"/>
      <c r="BK105" s="65" t="s">
        <v>293</v>
      </c>
      <c r="BL105" s="65"/>
      <c r="BM105" s="65" t="s">
        <v>193</v>
      </c>
      <c r="BN105" s="65"/>
      <c r="BO105" s="65">
        <f t="shared" si="29"/>
        <v>0</v>
      </c>
      <c r="BP105" s="65"/>
      <c r="BQ105" s="65">
        <f>GenRev!AW105-BO105</f>
        <v>0</v>
      </c>
      <c r="BR105" s="65"/>
      <c r="BS105" s="65"/>
      <c r="BT105" s="65"/>
      <c r="BU105" s="65"/>
      <c r="BV105" s="65"/>
      <c r="BW105" s="3">
        <f t="shared" si="28"/>
        <v>0</v>
      </c>
      <c r="BX105" s="65"/>
      <c r="BY105" s="67">
        <f>+BW105-GenBS!AE105</f>
        <v>0</v>
      </c>
      <c r="CB105" s="80" t="s">
        <v>393</v>
      </c>
      <c r="CC105" s="65" t="str">
        <f t="shared" si="30"/>
        <v>Mid-Ohio Educ Srv Ctr  (CASH)</v>
      </c>
      <c r="CD105" s="65" t="b">
        <f t="shared" si="31"/>
        <v>1</v>
      </c>
      <c r="CE105" s="65" t="b">
        <f t="shared" si="32"/>
        <v>1</v>
      </c>
      <c r="CF105" s="65" t="str">
        <f>GenRev!A105</f>
        <v>Mid-Ohio Educ Srv Ctr  (CASH)</v>
      </c>
      <c r="CG105" s="66" t="b">
        <f t="shared" si="33"/>
        <v>1</v>
      </c>
      <c r="CI105" s="65" t="str">
        <f t="shared" si="34"/>
        <v>Richland</v>
      </c>
      <c r="CJ105" s="66" t="b">
        <f t="shared" si="35"/>
        <v>1</v>
      </c>
      <c r="CK105" s="66" t="b">
        <f t="shared" si="36"/>
        <v>1</v>
      </c>
      <c r="CM105" s="66" t="b">
        <f>C105=GenRev!C105</f>
        <v>1</v>
      </c>
    </row>
    <row r="106" spans="1:91" s="16" customFormat="1">
      <c r="A106" s="3" t="s">
        <v>398</v>
      </c>
      <c r="C106" s="16" t="s">
        <v>184</v>
      </c>
      <c r="E106" s="16">
        <v>48660</v>
      </c>
      <c r="G106" s="3">
        <v>0</v>
      </c>
      <c r="H106" s="3"/>
      <c r="I106" s="3">
        <v>6550554</v>
      </c>
      <c r="J106" s="3"/>
      <c r="K106" s="3">
        <v>0</v>
      </c>
      <c r="L106" s="3"/>
      <c r="M106" s="32">
        <v>0</v>
      </c>
      <c r="N106" s="3"/>
      <c r="O106" s="3">
        <v>0</v>
      </c>
      <c r="P106" s="3"/>
      <c r="Q106" s="3">
        <v>8485173</v>
      </c>
      <c r="R106" s="3"/>
      <c r="S106" s="3">
        <v>6650212</v>
      </c>
      <c r="T106" s="3"/>
      <c r="U106" s="3">
        <v>93435</v>
      </c>
      <c r="V106" s="3"/>
      <c r="W106" s="3">
        <v>1862498</v>
      </c>
      <c r="X106" s="3"/>
      <c r="Y106" s="3">
        <v>460143</v>
      </c>
      <c r="Z106" s="3"/>
      <c r="AA106" s="3">
        <v>57881</v>
      </c>
      <c r="AB106" s="3"/>
      <c r="AC106" s="3">
        <v>1533986</v>
      </c>
      <c r="AD106" s="3" t="s">
        <v>398</v>
      </c>
      <c r="AF106" s="16" t="s">
        <v>184</v>
      </c>
      <c r="AH106" s="3">
        <v>26647</v>
      </c>
      <c r="AI106" s="3"/>
      <c r="AJ106" s="3">
        <v>961771</v>
      </c>
      <c r="AK106" s="3"/>
      <c r="AL106" s="3">
        <v>0</v>
      </c>
      <c r="AM106" s="3"/>
      <c r="AN106" s="3">
        <v>0</v>
      </c>
      <c r="AO106" s="3"/>
      <c r="AP106" s="3">
        <v>34540</v>
      </c>
      <c r="AQ106" s="3"/>
      <c r="AR106" s="3">
        <v>0</v>
      </c>
      <c r="AS106" s="3"/>
      <c r="AT106" s="3">
        <v>31477</v>
      </c>
      <c r="AU106" s="3"/>
      <c r="AV106" s="3">
        <v>0</v>
      </c>
      <c r="AW106" s="3"/>
      <c r="AX106" s="3">
        <v>208559</v>
      </c>
      <c r="AY106" s="3"/>
      <c r="AZ106" s="3">
        <v>19106</v>
      </c>
      <c r="BA106" s="3"/>
      <c r="BB106" s="3">
        <f t="shared" si="27"/>
        <v>26975982</v>
      </c>
      <c r="BC106" s="3"/>
      <c r="BD106" s="3">
        <v>108849</v>
      </c>
      <c r="BE106" s="3"/>
      <c r="BF106" s="3">
        <v>0</v>
      </c>
      <c r="BG106" s="3"/>
      <c r="BH106" s="3">
        <v>0</v>
      </c>
      <c r="BI106" s="3"/>
      <c r="BJ106" s="3">
        <v>0</v>
      </c>
      <c r="BK106" s="3" t="s">
        <v>398</v>
      </c>
      <c r="BM106" s="16" t="s">
        <v>184</v>
      </c>
      <c r="BN106" s="3"/>
      <c r="BO106" s="3">
        <f t="shared" si="29"/>
        <v>27084831</v>
      </c>
      <c r="BP106" s="3"/>
      <c r="BQ106" s="3">
        <f>GenRev!AW106-BO106</f>
        <v>-503278</v>
      </c>
      <c r="BR106" s="3"/>
      <c r="BS106" s="3">
        <v>12439674</v>
      </c>
      <c r="BT106" s="3"/>
      <c r="BU106" s="3">
        <v>0</v>
      </c>
      <c r="BV106" s="3"/>
      <c r="BW106" s="3">
        <f t="shared" si="28"/>
        <v>11936396</v>
      </c>
      <c r="BX106" s="3"/>
      <c r="BY106" s="17">
        <f>+BW106-GenBS!AE106</f>
        <v>0</v>
      </c>
      <c r="CB106" s="3"/>
      <c r="CC106" s="3" t="str">
        <f t="shared" si="30"/>
        <v>Montgomery County Educ Srv Ctr</v>
      </c>
      <c r="CD106" s="3" t="b">
        <f t="shared" si="31"/>
        <v>1</v>
      </c>
      <c r="CE106" s="3" t="b">
        <f t="shared" si="32"/>
        <v>1</v>
      </c>
      <c r="CF106" s="3" t="str">
        <f>GenRev!A106</f>
        <v>Montgomery County Educ Srv Ctr</v>
      </c>
      <c r="CG106" s="16" t="b">
        <f t="shared" si="33"/>
        <v>1</v>
      </c>
      <c r="CI106" s="3" t="str">
        <f t="shared" si="34"/>
        <v>Montgomery</v>
      </c>
      <c r="CJ106" s="16" t="b">
        <f t="shared" si="35"/>
        <v>1</v>
      </c>
      <c r="CK106" s="16" t="b">
        <f t="shared" si="36"/>
        <v>1</v>
      </c>
      <c r="CM106" s="16" t="b">
        <f>C106=GenRev!C106</f>
        <v>1</v>
      </c>
    </row>
    <row r="107" spans="1:91" s="16" customFormat="1">
      <c r="A107" s="3" t="s">
        <v>185</v>
      </c>
      <c r="C107" s="16" t="s">
        <v>186</v>
      </c>
      <c r="E107" s="16">
        <v>125252</v>
      </c>
      <c r="G107" s="3">
        <v>0</v>
      </c>
      <c r="H107" s="3"/>
      <c r="I107" s="3">
        <v>3594348</v>
      </c>
      <c r="J107" s="3"/>
      <c r="K107" s="3">
        <v>0</v>
      </c>
      <c r="L107" s="3"/>
      <c r="M107" s="32">
        <v>0</v>
      </c>
      <c r="N107" s="3"/>
      <c r="O107" s="3">
        <v>0</v>
      </c>
      <c r="P107" s="3"/>
      <c r="Q107" s="3">
        <v>1966468</v>
      </c>
      <c r="R107" s="3"/>
      <c r="S107" s="3">
        <v>2411760</v>
      </c>
      <c r="T107" s="3"/>
      <c r="U107" s="3">
        <v>38121</v>
      </c>
      <c r="V107" s="3"/>
      <c r="W107" s="3">
        <v>660801</v>
      </c>
      <c r="X107" s="3"/>
      <c r="Y107" s="3">
        <v>224040</v>
      </c>
      <c r="Z107" s="3"/>
      <c r="AA107" s="3">
        <v>0</v>
      </c>
      <c r="AB107" s="3"/>
      <c r="AC107" s="3">
        <v>1036</v>
      </c>
      <c r="AD107" s="3" t="s">
        <v>185</v>
      </c>
      <c r="AF107" s="16" t="s">
        <v>186</v>
      </c>
      <c r="AH107" s="3">
        <v>14573</v>
      </c>
      <c r="AI107" s="3"/>
      <c r="AJ107" s="3">
        <v>214935</v>
      </c>
      <c r="AK107" s="3"/>
      <c r="AL107" s="3">
        <v>0</v>
      </c>
      <c r="AM107" s="3"/>
      <c r="AN107" s="3">
        <v>0</v>
      </c>
      <c r="AO107" s="3"/>
      <c r="AP107" s="3">
        <v>0</v>
      </c>
      <c r="AQ107" s="3"/>
      <c r="AR107" s="3">
        <v>19561</v>
      </c>
      <c r="AS107" s="3"/>
      <c r="AT107" s="3">
        <v>0</v>
      </c>
      <c r="AU107" s="3"/>
      <c r="AV107" s="3">
        <v>0</v>
      </c>
      <c r="AW107" s="3"/>
      <c r="AX107" s="3">
        <v>0</v>
      </c>
      <c r="AY107" s="3"/>
      <c r="AZ107" s="3">
        <v>0</v>
      </c>
      <c r="BA107" s="3"/>
      <c r="BB107" s="3">
        <f t="shared" si="27"/>
        <v>9145643</v>
      </c>
      <c r="BC107" s="3"/>
      <c r="BD107" s="3">
        <v>0</v>
      </c>
      <c r="BE107" s="3"/>
      <c r="BF107" s="3">
        <v>0</v>
      </c>
      <c r="BG107" s="3"/>
      <c r="BH107" s="3">
        <v>0</v>
      </c>
      <c r="BI107" s="3"/>
      <c r="BJ107" s="3">
        <v>0</v>
      </c>
      <c r="BK107" s="3" t="s">
        <v>185</v>
      </c>
      <c r="BM107" s="16" t="s">
        <v>186</v>
      </c>
      <c r="BN107" s="3"/>
      <c r="BO107" s="3">
        <f t="shared" si="29"/>
        <v>9145643</v>
      </c>
      <c r="BP107" s="3"/>
      <c r="BQ107" s="3">
        <f>GenRev!AW107-BO107</f>
        <v>-183871</v>
      </c>
      <c r="BR107" s="3"/>
      <c r="BS107" s="3">
        <v>2768517</v>
      </c>
      <c r="BT107" s="3"/>
      <c r="BU107" s="3">
        <v>0</v>
      </c>
      <c r="BV107" s="3"/>
      <c r="BW107" s="3">
        <f t="shared" si="28"/>
        <v>2584646</v>
      </c>
      <c r="BX107" s="3"/>
      <c r="BY107" s="17">
        <f>+BW107-GenBS!AE107</f>
        <v>0</v>
      </c>
      <c r="CB107" s="3"/>
      <c r="CC107" s="3" t="str">
        <f t="shared" si="30"/>
        <v>Muskingum Valley Educ Srv Ctr</v>
      </c>
      <c r="CD107" s="3" t="b">
        <f t="shared" si="31"/>
        <v>1</v>
      </c>
      <c r="CE107" s="3" t="b">
        <f t="shared" si="32"/>
        <v>1</v>
      </c>
      <c r="CF107" s="3" t="str">
        <f>GenRev!A107</f>
        <v>Muskingum Valley Educ Srv Ctr</v>
      </c>
      <c r="CG107" s="16" t="b">
        <f t="shared" si="33"/>
        <v>1</v>
      </c>
      <c r="CI107" s="3" t="str">
        <f t="shared" si="34"/>
        <v>Muskingum</v>
      </c>
      <c r="CJ107" s="16" t="b">
        <f t="shared" si="35"/>
        <v>1</v>
      </c>
      <c r="CK107" s="16" t="b">
        <f t="shared" si="36"/>
        <v>1</v>
      </c>
      <c r="CM107" s="16" t="b">
        <f>C107=GenRev!C107</f>
        <v>1</v>
      </c>
    </row>
    <row r="108" spans="1:91" s="16" customFormat="1">
      <c r="A108" s="3" t="s">
        <v>277</v>
      </c>
      <c r="C108" s="16" t="s">
        <v>197</v>
      </c>
      <c r="E108" s="16">
        <v>123257</v>
      </c>
      <c r="G108" s="3">
        <v>903795</v>
      </c>
      <c r="H108" s="3"/>
      <c r="I108" s="3">
        <v>5912655</v>
      </c>
      <c r="J108" s="3"/>
      <c r="K108" s="3">
        <v>0</v>
      </c>
      <c r="L108" s="3"/>
      <c r="M108" s="32">
        <v>0</v>
      </c>
      <c r="N108" s="3"/>
      <c r="O108" s="3">
        <v>16759</v>
      </c>
      <c r="P108" s="3"/>
      <c r="Q108" s="3">
        <v>4375554</v>
      </c>
      <c r="R108" s="3"/>
      <c r="S108" s="3">
        <v>2384348</v>
      </c>
      <c r="T108" s="3"/>
      <c r="U108" s="3">
        <v>64677</v>
      </c>
      <c r="V108" s="3"/>
      <c r="W108" s="3">
        <v>1226563</v>
      </c>
      <c r="X108" s="3"/>
      <c r="Y108" s="3">
        <v>542529</v>
      </c>
      <c r="Z108" s="3"/>
      <c r="AA108" s="3">
        <v>170672</v>
      </c>
      <c r="AB108" s="3"/>
      <c r="AC108" s="3">
        <v>429167</v>
      </c>
      <c r="AD108" s="3" t="s">
        <v>277</v>
      </c>
      <c r="AF108" s="16" t="s">
        <v>197</v>
      </c>
      <c r="AH108" s="3">
        <v>94764</v>
      </c>
      <c r="AI108" s="3"/>
      <c r="AJ108" s="3">
        <v>647438</v>
      </c>
      <c r="AK108" s="3"/>
      <c r="AL108" s="3">
        <v>0</v>
      </c>
      <c r="AM108" s="3"/>
      <c r="AN108" s="3">
        <v>0</v>
      </c>
      <c r="AO108" s="3"/>
      <c r="AP108" s="3">
        <v>120684</v>
      </c>
      <c r="AQ108" s="3"/>
      <c r="AR108" s="3">
        <v>0</v>
      </c>
      <c r="AS108" s="3"/>
      <c r="AT108" s="3">
        <v>572539</v>
      </c>
      <c r="AU108" s="3"/>
      <c r="AV108" s="3">
        <v>0</v>
      </c>
      <c r="AW108" s="3"/>
      <c r="AX108" s="3">
        <v>0</v>
      </c>
      <c r="AY108" s="3"/>
      <c r="AZ108" s="3">
        <v>0</v>
      </c>
      <c r="BA108" s="3"/>
      <c r="BB108" s="3">
        <f t="shared" si="27"/>
        <v>17462144</v>
      </c>
      <c r="BC108" s="3"/>
      <c r="BD108" s="3">
        <v>6461</v>
      </c>
      <c r="BE108" s="3"/>
      <c r="BF108" s="3">
        <v>0</v>
      </c>
      <c r="BG108" s="3"/>
      <c r="BH108" s="3">
        <v>0</v>
      </c>
      <c r="BI108" s="3"/>
      <c r="BJ108" s="3">
        <v>0</v>
      </c>
      <c r="BK108" s="3" t="s">
        <v>277</v>
      </c>
      <c r="BM108" s="16" t="s">
        <v>197</v>
      </c>
      <c r="BN108" s="3"/>
      <c r="BO108" s="3">
        <f t="shared" si="29"/>
        <v>17468605</v>
      </c>
      <c r="BP108" s="3"/>
      <c r="BQ108" s="3">
        <f>GenRev!AW108-BO108</f>
        <v>-525500</v>
      </c>
      <c r="BR108" s="3"/>
      <c r="BS108" s="3">
        <v>1268619</v>
      </c>
      <c r="BT108" s="3"/>
      <c r="BU108" s="3">
        <v>0</v>
      </c>
      <c r="BV108" s="3"/>
      <c r="BW108" s="3">
        <f t="shared" si="28"/>
        <v>743119</v>
      </c>
      <c r="BX108" s="3"/>
      <c r="BY108" s="17">
        <f>+BW108-GenBS!AE108</f>
        <v>0</v>
      </c>
      <c r="CB108" s="3"/>
      <c r="CC108" s="3" t="str">
        <f t="shared" si="30"/>
        <v>North Central Ohio Educ Srv Ctr</v>
      </c>
      <c r="CD108" s="3" t="b">
        <f t="shared" si="31"/>
        <v>1</v>
      </c>
      <c r="CE108" s="3" t="b">
        <f t="shared" si="32"/>
        <v>1</v>
      </c>
      <c r="CF108" s="3" t="str">
        <f>GenRev!A108</f>
        <v>North Central Ohio Educ Srv Ctr</v>
      </c>
      <c r="CG108" s="16" t="b">
        <f t="shared" si="33"/>
        <v>1</v>
      </c>
      <c r="CI108" s="3" t="str">
        <f t="shared" si="34"/>
        <v>Seneca</v>
      </c>
      <c r="CJ108" s="16" t="b">
        <f t="shared" si="35"/>
        <v>1</v>
      </c>
      <c r="CK108" s="16" t="b">
        <f t="shared" si="36"/>
        <v>1</v>
      </c>
      <c r="CM108" s="16" t="b">
        <f>C108=GenRev!C108</f>
        <v>1</v>
      </c>
    </row>
    <row r="109" spans="1:91" s="16" customFormat="1">
      <c r="A109" s="16" t="s">
        <v>340</v>
      </c>
      <c r="C109" s="16" t="s">
        <v>163</v>
      </c>
      <c r="G109" s="3">
        <v>302334</v>
      </c>
      <c r="H109" s="3"/>
      <c r="I109" s="3">
        <v>5372060</v>
      </c>
      <c r="J109" s="3"/>
      <c r="K109" s="3">
        <v>0</v>
      </c>
      <c r="L109" s="3"/>
      <c r="M109" s="32">
        <v>0</v>
      </c>
      <c r="N109" s="3"/>
      <c r="O109" s="3">
        <v>0</v>
      </c>
      <c r="P109" s="3"/>
      <c r="Q109" s="3">
        <v>5256019</v>
      </c>
      <c r="R109" s="3"/>
      <c r="S109" s="3">
        <v>7076524</v>
      </c>
      <c r="T109" s="3"/>
      <c r="U109" s="3">
        <v>101311</v>
      </c>
      <c r="V109" s="3"/>
      <c r="W109" s="3">
        <v>412747</v>
      </c>
      <c r="X109" s="3"/>
      <c r="Y109" s="3">
        <v>368589</v>
      </c>
      <c r="Z109" s="3"/>
      <c r="AA109" s="3">
        <v>178732</v>
      </c>
      <c r="AB109" s="3"/>
      <c r="AC109" s="3">
        <v>364058</v>
      </c>
      <c r="AD109" s="16" t="s">
        <v>340</v>
      </c>
      <c r="AF109" s="16" t="s">
        <v>163</v>
      </c>
      <c r="AH109" s="3">
        <v>0</v>
      </c>
      <c r="AI109" s="3"/>
      <c r="AJ109" s="3">
        <v>64683</v>
      </c>
      <c r="AK109" s="3"/>
      <c r="AL109" s="3">
        <v>0</v>
      </c>
      <c r="AM109" s="3"/>
      <c r="AN109" s="3">
        <v>0</v>
      </c>
      <c r="AO109" s="3"/>
      <c r="AP109" s="3">
        <v>15940</v>
      </c>
      <c r="AQ109" s="3"/>
      <c r="AR109" s="3">
        <v>23055</v>
      </c>
      <c r="AS109" s="3"/>
      <c r="AT109" s="3">
        <v>134094</v>
      </c>
      <c r="AU109" s="3"/>
      <c r="AV109" s="3">
        <v>0</v>
      </c>
      <c r="AW109" s="3"/>
      <c r="AX109" s="3">
        <v>0</v>
      </c>
      <c r="AY109" s="3"/>
      <c r="AZ109" s="3">
        <v>0</v>
      </c>
      <c r="BA109" s="3"/>
      <c r="BB109" s="3">
        <f t="shared" si="27"/>
        <v>19670146</v>
      </c>
      <c r="BC109" s="3"/>
      <c r="BD109" s="3">
        <v>8297</v>
      </c>
      <c r="BE109" s="3"/>
      <c r="BF109" s="3">
        <v>0</v>
      </c>
      <c r="BG109" s="3"/>
      <c r="BH109" s="3">
        <v>0</v>
      </c>
      <c r="BI109" s="3"/>
      <c r="BJ109" s="3">
        <v>0</v>
      </c>
      <c r="BK109" s="16" t="s">
        <v>340</v>
      </c>
      <c r="BM109" s="16" t="s">
        <v>163</v>
      </c>
      <c r="BN109" s="3"/>
      <c r="BO109" s="3">
        <f t="shared" si="29"/>
        <v>19678443</v>
      </c>
      <c r="BP109" s="3"/>
      <c r="BQ109" s="3">
        <f>GenRev!AW109-BO109</f>
        <v>-314907</v>
      </c>
      <c r="BR109" s="3"/>
      <c r="BS109" s="3">
        <v>5444273</v>
      </c>
      <c r="BT109" s="3"/>
      <c r="BU109" s="3">
        <v>0</v>
      </c>
      <c r="BV109" s="3"/>
      <c r="BW109" s="3">
        <f t="shared" si="28"/>
        <v>5129366</v>
      </c>
      <c r="BX109" s="3"/>
      <c r="BY109" s="17">
        <f>+BW109-GenBS!AE109</f>
        <v>0</v>
      </c>
      <c r="CB109" s="3"/>
      <c r="CC109" s="3" t="str">
        <f t="shared" si="30"/>
        <v>North Point Educ Srv Ctr</v>
      </c>
      <c r="CD109" s="3" t="b">
        <f t="shared" si="31"/>
        <v>1</v>
      </c>
      <c r="CE109" s="3" t="b">
        <f t="shared" si="32"/>
        <v>1</v>
      </c>
      <c r="CF109" s="3" t="str">
        <f>GenRev!A109</f>
        <v>North Point Educ Srv Ctr</v>
      </c>
      <c r="CG109" s="16" t="b">
        <f t="shared" si="33"/>
        <v>1</v>
      </c>
      <c r="CI109" s="3" t="str">
        <f t="shared" si="34"/>
        <v>Erie</v>
      </c>
      <c r="CJ109" s="16" t="b">
        <f t="shared" si="35"/>
        <v>1</v>
      </c>
      <c r="CK109" s="16" t="b">
        <f t="shared" si="36"/>
        <v>1</v>
      </c>
      <c r="CM109" s="16" t="b">
        <f>C109=GenRev!C109</f>
        <v>1</v>
      </c>
    </row>
    <row r="110" spans="1:91" s="16" customFormat="1">
      <c r="A110" s="3" t="s">
        <v>166</v>
      </c>
      <c r="C110" s="3" t="s">
        <v>399</v>
      </c>
      <c r="E110" s="16">
        <v>124297</v>
      </c>
      <c r="G110" s="3">
        <v>252116</v>
      </c>
      <c r="H110" s="3"/>
      <c r="I110" s="3">
        <v>6029644</v>
      </c>
      <c r="J110" s="3"/>
      <c r="K110" s="3">
        <v>0</v>
      </c>
      <c r="L110" s="3"/>
      <c r="M110" s="32">
        <v>0</v>
      </c>
      <c r="N110" s="3"/>
      <c r="O110" s="3">
        <v>0</v>
      </c>
      <c r="P110" s="3"/>
      <c r="Q110" s="3">
        <v>4732701</v>
      </c>
      <c r="R110" s="3"/>
      <c r="S110" s="3">
        <v>6510333</v>
      </c>
      <c r="T110" s="3"/>
      <c r="U110" s="3">
        <v>97554</v>
      </c>
      <c r="V110" s="3"/>
      <c r="W110" s="3">
        <v>724714</v>
      </c>
      <c r="X110" s="3"/>
      <c r="Y110" s="3">
        <v>336930</v>
      </c>
      <c r="Z110" s="3"/>
      <c r="AA110" s="3">
        <v>67972</v>
      </c>
      <c r="AB110" s="3"/>
      <c r="AC110" s="3">
        <v>493601</v>
      </c>
      <c r="AD110" s="3" t="s">
        <v>166</v>
      </c>
      <c r="AF110" s="3" t="s">
        <v>399</v>
      </c>
      <c r="AG110" s="3"/>
      <c r="AH110" s="3">
        <v>78888</v>
      </c>
      <c r="AI110" s="3"/>
      <c r="AJ110" s="3">
        <v>116214</v>
      </c>
      <c r="AK110" s="3"/>
      <c r="AL110" s="3">
        <v>0</v>
      </c>
      <c r="AM110" s="3"/>
      <c r="AN110" s="3">
        <v>0</v>
      </c>
      <c r="AO110" s="3"/>
      <c r="AP110" s="3">
        <v>0</v>
      </c>
      <c r="AQ110" s="3"/>
      <c r="AR110" s="3">
        <v>0</v>
      </c>
      <c r="AS110" s="3"/>
      <c r="AT110" s="3">
        <v>5842425</v>
      </c>
      <c r="AU110" s="3"/>
      <c r="AV110" s="3">
        <v>0</v>
      </c>
      <c r="AW110" s="3"/>
      <c r="AX110" s="3">
        <v>13418</v>
      </c>
      <c r="AY110" s="3"/>
      <c r="AZ110" s="3">
        <v>355</v>
      </c>
      <c r="BA110" s="3"/>
      <c r="BB110" s="3">
        <f t="shared" si="27"/>
        <v>25296865</v>
      </c>
      <c r="BC110" s="3"/>
      <c r="BD110" s="3">
        <v>20000</v>
      </c>
      <c r="BE110" s="3"/>
      <c r="BF110" s="3">
        <v>0</v>
      </c>
      <c r="BG110" s="3"/>
      <c r="BH110" s="3">
        <v>0</v>
      </c>
      <c r="BI110" s="3"/>
      <c r="BJ110" s="3">
        <v>0</v>
      </c>
      <c r="BK110" s="3" t="s">
        <v>166</v>
      </c>
      <c r="BM110" s="3" t="s">
        <v>399</v>
      </c>
      <c r="BN110" s="3"/>
      <c r="BO110" s="3">
        <f t="shared" si="29"/>
        <v>25316865</v>
      </c>
      <c r="BP110" s="3"/>
      <c r="BQ110" s="3">
        <f>GenRev!AW110-BO110</f>
        <v>-4472299</v>
      </c>
      <c r="BR110" s="3"/>
      <c r="BS110" s="3">
        <v>5493898</v>
      </c>
      <c r="BT110" s="3"/>
      <c r="BU110" s="3">
        <v>0</v>
      </c>
      <c r="BV110" s="3"/>
      <c r="BW110" s="3">
        <f t="shared" si="28"/>
        <v>1021599</v>
      </c>
      <c r="BX110" s="3"/>
      <c r="BY110" s="17">
        <f>+BW110-GenBS!AE110</f>
        <v>0</v>
      </c>
      <c r="CB110" s="3" t="s">
        <v>400</v>
      </c>
      <c r="CC110" s="3" t="str">
        <f t="shared" si="30"/>
        <v>Northwest Ohio Educ Srv Ctr</v>
      </c>
      <c r="CD110" s="3" t="b">
        <f t="shared" si="31"/>
        <v>1</v>
      </c>
      <c r="CE110" s="3" t="b">
        <f t="shared" si="32"/>
        <v>1</v>
      </c>
      <c r="CF110" s="3" t="str">
        <f>GenRev!A110</f>
        <v>Northwest Ohio Educ Srv Ctr</v>
      </c>
      <c r="CG110" s="16" t="b">
        <f t="shared" si="33"/>
        <v>1</v>
      </c>
      <c r="CI110" s="3" t="str">
        <f t="shared" si="34"/>
        <v>Fulton</v>
      </c>
      <c r="CJ110" s="16" t="b">
        <f t="shared" si="35"/>
        <v>1</v>
      </c>
      <c r="CK110" s="16" t="b">
        <f t="shared" si="36"/>
        <v>1</v>
      </c>
      <c r="CM110" s="16" t="b">
        <f>C110=GenRev!C110</f>
        <v>1</v>
      </c>
    </row>
    <row r="111" spans="1:91" s="16" customFormat="1">
      <c r="A111" s="3" t="s">
        <v>364</v>
      </c>
      <c r="C111" s="3" t="s">
        <v>271</v>
      </c>
      <c r="E111" s="16">
        <v>123521</v>
      </c>
      <c r="G111" s="3">
        <v>170845</v>
      </c>
      <c r="H111" s="3"/>
      <c r="I111" s="3">
        <v>2310881</v>
      </c>
      <c r="J111" s="3"/>
      <c r="K111" s="3">
        <v>0</v>
      </c>
      <c r="L111" s="3"/>
      <c r="M111" s="32">
        <v>42735</v>
      </c>
      <c r="N111" s="3"/>
      <c r="O111" s="3">
        <v>0</v>
      </c>
      <c r="P111" s="3"/>
      <c r="Q111" s="3">
        <v>1733929</v>
      </c>
      <c r="R111" s="3"/>
      <c r="S111" s="3">
        <v>2362250</v>
      </c>
      <c r="T111" s="3"/>
      <c r="U111" s="3">
        <v>39557</v>
      </c>
      <c r="V111" s="3"/>
      <c r="W111" s="3">
        <v>787252</v>
      </c>
      <c r="X111" s="3"/>
      <c r="Y111" s="3">
        <v>237478</v>
      </c>
      <c r="Z111" s="3"/>
      <c r="AA111" s="3">
        <v>0</v>
      </c>
      <c r="AB111" s="3"/>
      <c r="AC111" s="3">
        <v>101945</v>
      </c>
      <c r="AD111" s="3" t="s">
        <v>364</v>
      </c>
      <c r="AF111" s="3" t="s">
        <v>271</v>
      </c>
      <c r="AH111" s="3">
        <v>14650</v>
      </c>
      <c r="AI111" s="3"/>
      <c r="AJ111" s="3">
        <v>25575</v>
      </c>
      <c r="AK111" s="3"/>
      <c r="AL111" s="3">
        <v>0</v>
      </c>
      <c r="AM111" s="3"/>
      <c r="AN111" s="3">
        <v>0</v>
      </c>
      <c r="AO111" s="3"/>
      <c r="AP111" s="3">
        <v>2810</v>
      </c>
      <c r="AQ111" s="3"/>
      <c r="AR111" s="3">
        <v>48779</v>
      </c>
      <c r="AS111" s="3"/>
      <c r="AT111" s="3">
        <v>441</v>
      </c>
      <c r="AU111" s="3"/>
      <c r="AV111" s="3">
        <v>0</v>
      </c>
      <c r="AW111" s="3"/>
      <c r="AX111" s="3">
        <v>6210</v>
      </c>
      <c r="AY111" s="3"/>
      <c r="AZ111" s="3">
        <v>1881</v>
      </c>
      <c r="BA111" s="3"/>
      <c r="BB111" s="3">
        <f t="shared" si="27"/>
        <v>7887218</v>
      </c>
      <c r="BC111" s="3"/>
      <c r="BD111" s="3">
        <v>297208</v>
      </c>
      <c r="BE111" s="3"/>
      <c r="BF111" s="3">
        <v>0</v>
      </c>
      <c r="BG111" s="3"/>
      <c r="BH111" s="3">
        <v>0</v>
      </c>
      <c r="BI111" s="3"/>
      <c r="BJ111" s="3">
        <v>0</v>
      </c>
      <c r="BK111" s="3" t="s">
        <v>364</v>
      </c>
      <c r="BM111" s="3" t="s">
        <v>271</v>
      </c>
      <c r="BN111" s="3"/>
      <c r="BO111" s="3">
        <f t="shared" si="29"/>
        <v>8184426</v>
      </c>
      <c r="BP111" s="3"/>
      <c r="BQ111" s="3">
        <f>GenRev!AW111-BO111</f>
        <v>176382</v>
      </c>
      <c r="BR111" s="3"/>
      <c r="BS111" s="3">
        <v>1116145</v>
      </c>
      <c r="BT111" s="3"/>
      <c r="BU111" s="3">
        <v>0</v>
      </c>
      <c r="BV111" s="3"/>
      <c r="BW111" s="3">
        <f t="shared" si="28"/>
        <v>1292527</v>
      </c>
      <c r="BX111" s="3"/>
      <c r="BY111" s="17">
        <f>+BW111-GenBS!AE111</f>
        <v>0</v>
      </c>
      <c r="CB111" s="3"/>
      <c r="CC111" s="3" t="str">
        <f t="shared" si="30"/>
        <v>Ohio Valley Educ Srv Ctr</v>
      </c>
      <c r="CD111" s="3" t="b">
        <f t="shared" si="31"/>
        <v>1</v>
      </c>
      <c r="CE111" s="3" t="b">
        <f t="shared" si="32"/>
        <v>1</v>
      </c>
      <c r="CF111" s="3" t="str">
        <f>GenRev!A111</f>
        <v>Ohio Valley Educ Srv Ctr</v>
      </c>
      <c r="CG111" s="16" t="b">
        <f t="shared" si="33"/>
        <v>1</v>
      </c>
      <c r="CI111" s="3" t="str">
        <f t="shared" si="34"/>
        <v>Guernsey</v>
      </c>
      <c r="CJ111" s="16" t="b">
        <f t="shared" si="35"/>
        <v>1</v>
      </c>
      <c r="CK111" s="16" t="b">
        <f t="shared" si="36"/>
        <v>1</v>
      </c>
      <c r="CM111" s="16" t="b">
        <f>C111=GenRev!C111</f>
        <v>1</v>
      </c>
    </row>
    <row r="112" spans="1:91" s="16" customFormat="1">
      <c r="A112" s="3" t="s">
        <v>187</v>
      </c>
      <c r="C112" s="16" t="s">
        <v>188</v>
      </c>
      <c r="E112" s="16">
        <v>125674</v>
      </c>
      <c r="G112" s="3">
        <v>479737</v>
      </c>
      <c r="H112" s="3"/>
      <c r="I112" s="3">
        <v>874174</v>
      </c>
      <c r="J112" s="3"/>
      <c r="K112" s="3">
        <v>0</v>
      </c>
      <c r="L112" s="3"/>
      <c r="M112" s="32">
        <v>0</v>
      </c>
      <c r="N112" s="3"/>
      <c r="O112" s="3">
        <v>40778</v>
      </c>
      <c r="P112" s="3"/>
      <c r="Q112" s="3">
        <v>1246924</v>
      </c>
      <c r="R112" s="3"/>
      <c r="S112" s="3">
        <v>1433029</v>
      </c>
      <c r="T112" s="3"/>
      <c r="U112" s="3">
        <v>30955</v>
      </c>
      <c r="V112" s="3"/>
      <c r="W112" s="3">
        <v>273700</v>
      </c>
      <c r="X112" s="3"/>
      <c r="Y112" s="3">
        <v>220929</v>
      </c>
      <c r="Z112" s="3"/>
      <c r="AA112" s="3">
        <v>0</v>
      </c>
      <c r="AB112" s="3"/>
      <c r="AC112" s="3">
        <v>89743</v>
      </c>
      <c r="AD112" s="3" t="s">
        <v>187</v>
      </c>
      <c r="AF112" s="16" t="s">
        <v>188</v>
      </c>
      <c r="AH112" s="3">
        <v>1498</v>
      </c>
      <c r="AI112" s="3"/>
      <c r="AJ112" s="3">
        <v>85563</v>
      </c>
      <c r="AK112" s="3"/>
      <c r="AL112" s="3">
        <v>0</v>
      </c>
      <c r="AM112" s="3"/>
      <c r="AN112" s="3">
        <v>0</v>
      </c>
      <c r="AO112" s="3"/>
      <c r="AP112" s="3">
        <v>21734</v>
      </c>
      <c r="AQ112" s="3"/>
      <c r="AR112" s="3">
        <v>0</v>
      </c>
      <c r="AS112" s="3"/>
      <c r="AT112" s="3">
        <v>0</v>
      </c>
      <c r="AU112" s="3"/>
      <c r="AV112" s="3">
        <v>0</v>
      </c>
      <c r="AW112" s="3"/>
      <c r="AX112" s="3">
        <v>13191</v>
      </c>
      <c r="AY112" s="3"/>
      <c r="AZ112" s="3">
        <v>2852</v>
      </c>
      <c r="BA112" s="3"/>
      <c r="BB112" s="3">
        <f t="shared" si="27"/>
        <v>4814807</v>
      </c>
      <c r="BC112" s="3"/>
      <c r="BD112" s="3">
        <v>0</v>
      </c>
      <c r="BE112" s="3"/>
      <c r="BF112" s="3">
        <v>0</v>
      </c>
      <c r="BG112" s="3"/>
      <c r="BH112" s="3">
        <v>0</v>
      </c>
      <c r="BI112" s="3"/>
      <c r="BJ112" s="3">
        <v>0</v>
      </c>
      <c r="BK112" s="3" t="s">
        <v>187</v>
      </c>
      <c r="BM112" s="16" t="s">
        <v>188</v>
      </c>
      <c r="BN112" s="3"/>
      <c r="BO112" s="3">
        <f t="shared" si="29"/>
        <v>4814807</v>
      </c>
      <c r="BP112" s="3"/>
      <c r="BQ112" s="3">
        <f>GenRev!AW112-BO112</f>
        <v>144774</v>
      </c>
      <c r="BR112" s="3"/>
      <c r="BS112" s="3">
        <v>15382</v>
      </c>
      <c r="BT112" s="3"/>
      <c r="BU112" s="3">
        <v>0</v>
      </c>
      <c r="BV112" s="3"/>
      <c r="BW112" s="3">
        <f t="shared" si="28"/>
        <v>160156</v>
      </c>
      <c r="BX112" s="3"/>
      <c r="BY112" s="17">
        <f>+BW112-GenBS!AE112</f>
        <v>0</v>
      </c>
      <c r="CB112" s="3" t="s">
        <v>406</v>
      </c>
      <c r="CC112" s="3" t="str">
        <f t="shared" si="30"/>
        <v>Perry-Hocking Educ Srv Ctr</v>
      </c>
      <c r="CD112" s="3" t="b">
        <f t="shared" si="31"/>
        <v>1</v>
      </c>
      <c r="CE112" s="3" t="b">
        <f t="shared" si="32"/>
        <v>1</v>
      </c>
      <c r="CF112" s="3" t="str">
        <f>GenRev!A112</f>
        <v>Perry-Hocking Educ Srv Ctr</v>
      </c>
      <c r="CG112" s="16" t="b">
        <f t="shared" si="33"/>
        <v>1</v>
      </c>
      <c r="CI112" s="3" t="str">
        <f t="shared" si="34"/>
        <v>Perry</v>
      </c>
      <c r="CJ112" s="16" t="b">
        <f t="shared" si="35"/>
        <v>1</v>
      </c>
      <c r="CK112" s="16" t="b">
        <f t="shared" si="36"/>
        <v>1</v>
      </c>
      <c r="CM112" s="16" t="b">
        <f>C112=GenRev!C112</f>
        <v>1</v>
      </c>
    </row>
    <row r="113" spans="1:91" s="16" customFormat="1">
      <c r="A113" s="3" t="s">
        <v>421</v>
      </c>
      <c r="C113" s="16" t="s">
        <v>189</v>
      </c>
      <c r="E113" s="16">
        <v>49072</v>
      </c>
      <c r="G113" s="3">
        <v>23743</v>
      </c>
      <c r="H113" s="3"/>
      <c r="I113" s="3">
        <v>290070</v>
      </c>
      <c r="J113" s="3"/>
      <c r="K113" s="3">
        <v>0</v>
      </c>
      <c r="L113" s="3"/>
      <c r="M113" s="32">
        <v>0</v>
      </c>
      <c r="N113" s="3"/>
      <c r="O113" s="3">
        <v>32287</v>
      </c>
      <c r="P113" s="3"/>
      <c r="Q113" s="3">
        <v>1723905</v>
      </c>
      <c r="R113" s="3"/>
      <c r="S113" s="3">
        <v>572781</v>
      </c>
      <c r="T113" s="3"/>
      <c r="U113" s="3">
        <v>42104</v>
      </c>
      <c r="V113" s="3"/>
      <c r="W113" s="3">
        <v>244356</v>
      </c>
      <c r="X113" s="3"/>
      <c r="Y113" s="3">
        <v>133472</v>
      </c>
      <c r="Z113" s="3"/>
      <c r="AA113" s="3">
        <v>21128</v>
      </c>
      <c r="AB113" s="3"/>
      <c r="AC113" s="3">
        <v>85447</v>
      </c>
      <c r="AD113" s="3" t="s">
        <v>421</v>
      </c>
      <c r="AF113" s="16" t="s">
        <v>189</v>
      </c>
      <c r="AH113" s="3">
        <v>26253</v>
      </c>
      <c r="AI113" s="3"/>
      <c r="AJ113" s="3">
        <v>1010</v>
      </c>
      <c r="AK113" s="3"/>
      <c r="AL113" s="3">
        <v>0</v>
      </c>
      <c r="AM113" s="3"/>
      <c r="AN113" s="3">
        <v>0</v>
      </c>
      <c r="AO113" s="3"/>
      <c r="AP113" s="3">
        <v>7700</v>
      </c>
      <c r="AQ113" s="3"/>
      <c r="AR113" s="3">
        <v>0</v>
      </c>
      <c r="AS113" s="3"/>
      <c r="AT113" s="3">
        <v>0</v>
      </c>
      <c r="AU113" s="3"/>
      <c r="AV113" s="3">
        <v>0</v>
      </c>
      <c r="AW113" s="3"/>
      <c r="AX113" s="3">
        <v>0</v>
      </c>
      <c r="AY113" s="3"/>
      <c r="AZ113" s="3">
        <v>0</v>
      </c>
      <c r="BA113" s="3"/>
      <c r="BB113" s="3">
        <f t="shared" si="27"/>
        <v>3204256</v>
      </c>
      <c r="BC113" s="3"/>
      <c r="BD113" s="3">
        <v>619</v>
      </c>
      <c r="BE113" s="3"/>
      <c r="BF113" s="3">
        <v>0</v>
      </c>
      <c r="BG113" s="3"/>
      <c r="BH113" s="3">
        <v>0</v>
      </c>
      <c r="BI113" s="3"/>
      <c r="BJ113" s="3">
        <v>0</v>
      </c>
      <c r="BK113" s="3" t="s">
        <v>421</v>
      </c>
      <c r="BM113" s="16" t="s">
        <v>189</v>
      </c>
      <c r="BN113" s="3"/>
      <c r="BO113" s="3">
        <f t="shared" si="29"/>
        <v>3204875</v>
      </c>
      <c r="BP113" s="3"/>
      <c r="BQ113" s="3">
        <f>GenRev!AW113-BO113</f>
        <v>127230</v>
      </c>
      <c r="BR113" s="3"/>
      <c r="BS113" s="3">
        <v>322472</v>
      </c>
      <c r="BT113" s="3"/>
      <c r="BU113" s="3">
        <v>0</v>
      </c>
      <c r="BV113" s="3"/>
      <c r="BW113" s="3">
        <f t="shared" si="28"/>
        <v>449702</v>
      </c>
      <c r="BX113" s="3"/>
      <c r="BY113" s="17">
        <f>+BW113-GenBS!AE113</f>
        <v>0</v>
      </c>
      <c r="CB113" s="32"/>
      <c r="CC113" s="3" t="str">
        <f t="shared" si="30"/>
        <v>Pickaway County Educ Srv Ctr</v>
      </c>
      <c r="CD113" s="3" t="b">
        <f t="shared" si="31"/>
        <v>1</v>
      </c>
      <c r="CE113" s="3" t="b">
        <f t="shared" si="32"/>
        <v>1</v>
      </c>
      <c r="CF113" s="3" t="str">
        <f>GenRev!A113</f>
        <v>Pickaway County Educ Srv Ctr</v>
      </c>
      <c r="CG113" s="16" t="b">
        <f t="shared" si="33"/>
        <v>1</v>
      </c>
      <c r="CI113" s="3" t="str">
        <f t="shared" si="34"/>
        <v>Pickaway</v>
      </c>
      <c r="CJ113" s="16" t="b">
        <f t="shared" si="35"/>
        <v>1</v>
      </c>
      <c r="CK113" s="16" t="b">
        <f t="shared" si="36"/>
        <v>1</v>
      </c>
      <c r="CM113" s="16" t="b">
        <f>C113=GenRev!C113</f>
        <v>1</v>
      </c>
    </row>
    <row r="114" spans="1:91" s="16" customFormat="1">
      <c r="A114" s="3" t="s">
        <v>408</v>
      </c>
      <c r="C114" s="16" t="s">
        <v>190</v>
      </c>
      <c r="E114" s="16">
        <v>49163</v>
      </c>
      <c r="G114" s="3">
        <v>52684</v>
      </c>
      <c r="H114" s="3"/>
      <c r="I114" s="3">
        <v>1660909</v>
      </c>
      <c r="J114" s="3"/>
      <c r="K114" s="3">
        <v>0</v>
      </c>
      <c r="L114" s="3"/>
      <c r="M114" s="32">
        <v>0</v>
      </c>
      <c r="N114" s="3"/>
      <c r="O114" s="3">
        <v>0</v>
      </c>
      <c r="P114" s="3"/>
      <c r="Q114" s="3">
        <v>1683674</v>
      </c>
      <c r="R114" s="3"/>
      <c r="S114" s="3">
        <v>2325909</v>
      </c>
      <c r="T114" s="3"/>
      <c r="U114" s="3">
        <v>120644</v>
      </c>
      <c r="V114" s="3"/>
      <c r="W114" s="3">
        <v>633478</v>
      </c>
      <c r="X114" s="3"/>
      <c r="Y114" s="3">
        <v>270044</v>
      </c>
      <c r="Z114" s="3"/>
      <c r="AA114" s="3">
        <v>95212</v>
      </c>
      <c r="AB114" s="3"/>
      <c r="AC114" s="3">
        <v>59543</v>
      </c>
      <c r="AD114" s="3" t="s">
        <v>408</v>
      </c>
      <c r="AF114" s="16" t="s">
        <v>190</v>
      </c>
      <c r="AH114" s="3">
        <v>9382</v>
      </c>
      <c r="AI114" s="3"/>
      <c r="AJ114" s="3">
        <v>222</v>
      </c>
      <c r="AK114" s="3"/>
      <c r="AL114" s="3">
        <v>0</v>
      </c>
      <c r="AM114" s="3"/>
      <c r="AN114" s="3">
        <v>117</v>
      </c>
      <c r="AO114" s="3"/>
      <c r="AP114" s="3">
        <v>0</v>
      </c>
      <c r="AQ114" s="3"/>
      <c r="AR114" s="3">
        <v>10072</v>
      </c>
      <c r="AS114" s="3"/>
      <c r="AT114" s="3">
        <v>0</v>
      </c>
      <c r="AU114" s="3"/>
      <c r="AV114" s="3">
        <v>0</v>
      </c>
      <c r="AW114" s="3"/>
      <c r="AX114" s="3">
        <v>10771</v>
      </c>
      <c r="AY114" s="3"/>
      <c r="AZ114" s="3">
        <v>279</v>
      </c>
      <c r="BA114" s="3"/>
      <c r="BB114" s="3">
        <f t="shared" si="27"/>
        <v>6932940</v>
      </c>
      <c r="BC114" s="3"/>
      <c r="BD114" s="3">
        <v>0</v>
      </c>
      <c r="BE114" s="3"/>
      <c r="BF114" s="3">
        <v>0</v>
      </c>
      <c r="BG114" s="3"/>
      <c r="BH114" s="3">
        <v>0</v>
      </c>
      <c r="BI114" s="3"/>
      <c r="BJ114" s="3">
        <v>0</v>
      </c>
      <c r="BK114" s="3" t="s">
        <v>408</v>
      </c>
      <c r="BM114" s="16" t="s">
        <v>190</v>
      </c>
      <c r="BN114" s="3"/>
      <c r="BO114" s="3">
        <f t="shared" si="29"/>
        <v>6932940</v>
      </c>
      <c r="BP114" s="3"/>
      <c r="BQ114" s="3">
        <f>GenRev!AW114-BO114</f>
        <v>-112102</v>
      </c>
      <c r="BR114" s="3"/>
      <c r="BS114" s="3">
        <v>338276</v>
      </c>
      <c r="BT114" s="3"/>
      <c r="BU114" s="3">
        <v>0</v>
      </c>
      <c r="BV114" s="3"/>
      <c r="BW114" s="3">
        <f t="shared" si="28"/>
        <v>226174</v>
      </c>
      <c r="BX114" s="3"/>
      <c r="BY114" s="17">
        <f>+BW114-GenBS!AE114</f>
        <v>0</v>
      </c>
      <c r="CB114" s="32"/>
      <c r="CC114" s="3" t="str">
        <f t="shared" si="30"/>
        <v>Portage County Educ Srv Ctr</v>
      </c>
      <c r="CD114" s="3" t="b">
        <f t="shared" si="31"/>
        <v>1</v>
      </c>
      <c r="CE114" s="3" t="b">
        <f t="shared" si="32"/>
        <v>1</v>
      </c>
      <c r="CF114" s="3" t="str">
        <f>GenRev!A114</f>
        <v>Portage County Educ Srv Ctr</v>
      </c>
      <c r="CG114" s="16" t="b">
        <f t="shared" si="33"/>
        <v>1</v>
      </c>
      <c r="CI114" s="3" t="str">
        <f t="shared" si="34"/>
        <v>Portage</v>
      </c>
      <c r="CJ114" s="16" t="b">
        <f t="shared" si="35"/>
        <v>1</v>
      </c>
      <c r="CK114" s="16" t="b">
        <f t="shared" si="36"/>
        <v>1</v>
      </c>
      <c r="CM114" s="16" t="b">
        <f>C114=GenRev!C114</f>
        <v>1</v>
      </c>
    </row>
    <row r="115" spans="1:91" s="66" customFormat="1" hidden="1">
      <c r="A115" s="66" t="s">
        <v>409</v>
      </c>
      <c r="C115" s="66" t="s">
        <v>191</v>
      </c>
      <c r="E115" s="66">
        <v>49254</v>
      </c>
      <c r="G115" s="65"/>
      <c r="H115" s="65"/>
      <c r="I115" s="65"/>
      <c r="J115" s="65"/>
      <c r="K115" s="65"/>
      <c r="L115" s="65"/>
      <c r="M115" s="80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6" t="s">
        <v>409</v>
      </c>
      <c r="AF115" s="66" t="s">
        <v>191</v>
      </c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>
        <f t="shared" si="27"/>
        <v>0</v>
      </c>
      <c r="BC115" s="65"/>
      <c r="BD115" s="65"/>
      <c r="BE115" s="65"/>
      <c r="BF115" s="65"/>
      <c r="BG115" s="65"/>
      <c r="BH115" s="65"/>
      <c r="BI115" s="65"/>
      <c r="BJ115" s="65"/>
      <c r="BK115" s="66" t="s">
        <v>409</v>
      </c>
      <c r="BM115" s="66" t="s">
        <v>191</v>
      </c>
      <c r="BN115" s="65"/>
      <c r="BO115" s="65">
        <f t="shared" si="29"/>
        <v>0</v>
      </c>
      <c r="BP115" s="65"/>
      <c r="BQ115" s="65">
        <f>GenRev!AW115-BO115</f>
        <v>0</v>
      </c>
      <c r="BR115" s="65"/>
      <c r="BS115" s="65"/>
      <c r="BT115" s="65"/>
      <c r="BU115" s="65"/>
      <c r="BV115" s="65"/>
      <c r="BW115" s="3">
        <f t="shared" si="28"/>
        <v>0</v>
      </c>
      <c r="BX115" s="65"/>
      <c r="BY115" s="67">
        <f>+BW115-GenBS!AE115</f>
        <v>0</v>
      </c>
      <c r="CB115" s="80" t="s">
        <v>410</v>
      </c>
      <c r="CC115" s="65" t="str">
        <f t="shared" si="30"/>
        <v>Preble County Educ Srv Ctr (CASH)</v>
      </c>
      <c r="CD115" s="65" t="b">
        <f t="shared" si="31"/>
        <v>1</v>
      </c>
      <c r="CE115" s="65" t="b">
        <f t="shared" si="32"/>
        <v>1</v>
      </c>
      <c r="CF115" s="65" t="str">
        <f>GenRev!A115</f>
        <v>Preble County Educ Srv Ctr (CASH)</v>
      </c>
      <c r="CG115" s="66" t="b">
        <f t="shared" si="33"/>
        <v>1</v>
      </c>
      <c r="CI115" s="65" t="str">
        <f t="shared" si="34"/>
        <v>Preble</v>
      </c>
      <c r="CJ115" s="66" t="b">
        <f t="shared" si="35"/>
        <v>1</v>
      </c>
      <c r="CK115" s="66" t="b">
        <f t="shared" si="36"/>
        <v>1</v>
      </c>
      <c r="CM115" s="66" t="b">
        <f>C115=GenRev!C115</f>
        <v>1</v>
      </c>
    </row>
    <row r="116" spans="1:91" s="16" customFormat="1">
      <c r="A116" s="3" t="s">
        <v>411</v>
      </c>
      <c r="C116" s="16" t="s">
        <v>192</v>
      </c>
      <c r="E116" s="16">
        <v>49304</v>
      </c>
      <c r="G116" s="3">
        <v>29636</v>
      </c>
      <c r="H116" s="3"/>
      <c r="I116" s="3">
        <v>768606</v>
      </c>
      <c r="J116" s="3"/>
      <c r="K116" s="3">
        <v>0</v>
      </c>
      <c r="L116" s="3"/>
      <c r="M116" s="32">
        <v>0</v>
      </c>
      <c r="N116" s="3"/>
      <c r="O116" s="3">
        <v>80</v>
      </c>
      <c r="P116" s="3"/>
      <c r="Q116" s="3">
        <v>654850</v>
      </c>
      <c r="R116" s="3"/>
      <c r="S116" s="3">
        <v>883448</v>
      </c>
      <c r="T116" s="3"/>
      <c r="U116" s="3">
        <v>28369</v>
      </c>
      <c r="V116" s="3"/>
      <c r="W116" s="3">
        <v>169673</v>
      </c>
      <c r="X116" s="3"/>
      <c r="Y116" s="3">
        <v>264478</v>
      </c>
      <c r="Z116" s="3"/>
      <c r="AA116" s="3">
        <v>0</v>
      </c>
      <c r="AB116" s="3"/>
      <c r="AC116" s="3">
        <v>78014</v>
      </c>
      <c r="AD116" s="3" t="s">
        <v>411</v>
      </c>
      <c r="AF116" s="16" t="s">
        <v>192</v>
      </c>
      <c r="AH116" s="3">
        <v>10958</v>
      </c>
      <c r="AI116" s="3"/>
      <c r="AJ116" s="3">
        <v>3280</v>
      </c>
      <c r="AK116" s="3"/>
      <c r="AL116" s="3">
        <v>0</v>
      </c>
      <c r="AM116" s="3"/>
      <c r="AN116" s="3">
        <v>0</v>
      </c>
      <c r="AO116" s="3"/>
      <c r="AP116" s="3">
        <v>0</v>
      </c>
      <c r="AQ116" s="3"/>
      <c r="AR116" s="3">
        <v>0</v>
      </c>
      <c r="AS116" s="3"/>
      <c r="AT116" s="3">
        <v>0</v>
      </c>
      <c r="AU116" s="3"/>
      <c r="AV116" s="3">
        <v>0</v>
      </c>
      <c r="AW116" s="3"/>
      <c r="AX116" s="3">
        <v>30357</v>
      </c>
      <c r="AY116" s="3"/>
      <c r="AZ116" s="3">
        <v>28156</v>
      </c>
      <c r="BA116" s="3"/>
      <c r="BB116" s="3">
        <f t="shared" si="27"/>
        <v>2949905</v>
      </c>
      <c r="BC116" s="3"/>
      <c r="BD116" s="3">
        <v>0</v>
      </c>
      <c r="BE116" s="3"/>
      <c r="BF116" s="3">
        <v>0</v>
      </c>
      <c r="BG116" s="3"/>
      <c r="BH116" s="3">
        <v>0</v>
      </c>
      <c r="BI116" s="3"/>
      <c r="BJ116" s="3">
        <v>0</v>
      </c>
      <c r="BK116" s="3" t="s">
        <v>411</v>
      </c>
      <c r="BM116" s="16" t="s">
        <v>192</v>
      </c>
      <c r="BN116" s="3"/>
      <c r="BO116" s="3">
        <f t="shared" si="29"/>
        <v>2949905</v>
      </c>
      <c r="BP116" s="3"/>
      <c r="BQ116" s="3">
        <f>GenRev!AW116-BO116</f>
        <v>175507</v>
      </c>
      <c r="BR116" s="3"/>
      <c r="BS116" s="3">
        <v>790151</v>
      </c>
      <c r="BT116" s="3"/>
      <c r="BU116" s="3">
        <v>0</v>
      </c>
      <c r="BV116" s="3"/>
      <c r="BW116" s="3">
        <f t="shared" si="28"/>
        <v>965658</v>
      </c>
      <c r="BX116" s="3"/>
      <c r="BY116" s="17">
        <f>+BW116-GenBS!AE116</f>
        <v>0</v>
      </c>
      <c r="CB116" s="3"/>
      <c r="CC116" s="3" t="str">
        <f t="shared" si="30"/>
        <v>Putnam County Educ Srv Ctr</v>
      </c>
      <c r="CD116" s="3" t="b">
        <f t="shared" si="31"/>
        <v>1</v>
      </c>
      <c r="CE116" s="3" t="b">
        <f t="shared" si="32"/>
        <v>1</v>
      </c>
      <c r="CF116" s="3" t="str">
        <f>GenRev!A116</f>
        <v>Putnam County Educ Srv Ctr</v>
      </c>
      <c r="CG116" s="16" t="b">
        <f t="shared" si="33"/>
        <v>1</v>
      </c>
      <c r="CI116" s="3" t="str">
        <f t="shared" si="34"/>
        <v>Putnam</v>
      </c>
      <c r="CJ116" s="16" t="b">
        <f t="shared" si="35"/>
        <v>1</v>
      </c>
      <c r="CK116" s="16" t="b">
        <f t="shared" si="36"/>
        <v>1</v>
      </c>
      <c r="CM116" s="16" t="b">
        <f>C116=GenRev!C116</f>
        <v>1</v>
      </c>
    </row>
    <row r="117" spans="1:91" s="16" customFormat="1">
      <c r="A117" s="3" t="s">
        <v>412</v>
      </c>
      <c r="C117" s="16" t="s">
        <v>194</v>
      </c>
      <c r="E117" s="16">
        <v>138222</v>
      </c>
      <c r="G117" s="3">
        <v>45539</v>
      </c>
      <c r="H117" s="3"/>
      <c r="I117" s="3">
        <v>3845543</v>
      </c>
      <c r="J117" s="3"/>
      <c r="K117" s="3">
        <v>0</v>
      </c>
      <c r="L117" s="3"/>
      <c r="M117" s="32">
        <v>0</v>
      </c>
      <c r="N117" s="3"/>
      <c r="O117" s="3">
        <v>9434</v>
      </c>
      <c r="P117" s="3"/>
      <c r="Q117" s="3">
        <v>1995172</v>
      </c>
      <c r="R117" s="3"/>
      <c r="S117" s="3">
        <v>1416248</v>
      </c>
      <c r="T117" s="3"/>
      <c r="U117" s="3">
        <v>55840</v>
      </c>
      <c r="V117" s="3"/>
      <c r="W117" s="3">
        <v>305534</v>
      </c>
      <c r="X117" s="3"/>
      <c r="Y117" s="3">
        <v>237352</v>
      </c>
      <c r="Z117" s="3"/>
      <c r="AA117" s="3">
        <v>0</v>
      </c>
      <c r="AB117" s="3"/>
      <c r="AC117" s="3">
        <v>107756</v>
      </c>
      <c r="AD117" s="3" t="s">
        <v>412</v>
      </c>
      <c r="AF117" s="16" t="s">
        <v>194</v>
      </c>
      <c r="AH117" s="3">
        <v>0</v>
      </c>
      <c r="AI117" s="3"/>
      <c r="AJ117" s="3">
        <v>58370</v>
      </c>
      <c r="AK117" s="3"/>
      <c r="AL117" s="3">
        <v>0</v>
      </c>
      <c r="AM117" s="3"/>
      <c r="AN117" s="3">
        <v>0</v>
      </c>
      <c r="AO117" s="3"/>
      <c r="AP117" s="3">
        <v>0</v>
      </c>
      <c r="AQ117" s="3"/>
      <c r="AR117" s="3">
        <v>0</v>
      </c>
      <c r="AS117" s="3"/>
      <c r="AT117" s="3">
        <v>0</v>
      </c>
      <c r="AU117" s="3"/>
      <c r="AV117" s="3">
        <v>0</v>
      </c>
      <c r="AW117" s="3"/>
      <c r="AX117" s="3">
        <v>0</v>
      </c>
      <c r="AY117" s="3"/>
      <c r="AZ117" s="3">
        <v>0</v>
      </c>
      <c r="BA117" s="3"/>
      <c r="BB117" s="3">
        <f t="shared" si="27"/>
        <v>8076788</v>
      </c>
      <c r="BC117" s="3"/>
      <c r="BD117" s="3">
        <v>0</v>
      </c>
      <c r="BE117" s="3"/>
      <c r="BF117" s="3">
        <v>0</v>
      </c>
      <c r="BG117" s="3"/>
      <c r="BH117" s="3">
        <v>0</v>
      </c>
      <c r="BI117" s="3"/>
      <c r="BJ117" s="3">
        <v>0</v>
      </c>
      <c r="BK117" s="3" t="s">
        <v>412</v>
      </c>
      <c r="BM117" s="16" t="s">
        <v>194</v>
      </c>
      <c r="BN117" s="3"/>
      <c r="BO117" s="3">
        <f t="shared" si="29"/>
        <v>8076788</v>
      </c>
      <c r="BP117" s="3"/>
      <c r="BQ117" s="3">
        <f>GenRev!AW117-BO117</f>
        <v>222363</v>
      </c>
      <c r="BR117" s="3"/>
      <c r="BS117" s="3">
        <v>2739683</v>
      </c>
      <c r="BT117" s="3"/>
      <c r="BU117" s="3">
        <v>0</v>
      </c>
      <c r="BV117" s="3"/>
      <c r="BW117" s="3">
        <f t="shared" si="28"/>
        <v>2962046</v>
      </c>
      <c r="BX117" s="3"/>
      <c r="BY117" s="17">
        <f>+BW117-GenBS!AE117</f>
        <v>0</v>
      </c>
      <c r="CB117" s="3"/>
      <c r="CC117" s="3" t="str">
        <f t="shared" si="30"/>
        <v>Ross-Pike Educ Srv District</v>
      </c>
      <c r="CD117" s="3" t="b">
        <f t="shared" si="31"/>
        <v>1</v>
      </c>
      <c r="CE117" s="3" t="b">
        <f t="shared" si="32"/>
        <v>1</v>
      </c>
      <c r="CF117" s="3" t="str">
        <f>GenRev!A117</f>
        <v>Ross-Pike Educ Srv District</v>
      </c>
      <c r="CG117" s="16" t="b">
        <f t="shared" si="33"/>
        <v>1</v>
      </c>
      <c r="CI117" s="3" t="str">
        <f t="shared" si="34"/>
        <v>Ross</v>
      </c>
      <c r="CJ117" s="16" t="b">
        <f t="shared" si="35"/>
        <v>1</v>
      </c>
      <c r="CK117" s="16" t="b">
        <f t="shared" si="36"/>
        <v>1</v>
      </c>
      <c r="CM117" s="16" t="b">
        <f>C117=GenRev!C117</f>
        <v>1</v>
      </c>
    </row>
    <row r="118" spans="1:91" s="66" customFormat="1" ht="11.25" hidden="1" customHeight="1">
      <c r="A118" s="65" t="s">
        <v>341</v>
      </c>
      <c r="C118" s="66" t="s">
        <v>195</v>
      </c>
      <c r="E118" s="66">
        <v>49551</v>
      </c>
      <c r="G118" s="65"/>
      <c r="H118" s="65"/>
      <c r="I118" s="65"/>
      <c r="J118" s="65"/>
      <c r="K118" s="65"/>
      <c r="L118" s="65"/>
      <c r="M118" s="80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 t="s">
        <v>341</v>
      </c>
      <c r="AF118" s="66" t="s">
        <v>195</v>
      </c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>
        <f t="shared" si="27"/>
        <v>0</v>
      </c>
      <c r="BC118" s="65"/>
      <c r="BD118" s="65"/>
      <c r="BE118" s="65"/>
      <c r="BF118" s="65"/>
      <c r="BG118" s="65"/>
      <c r="BH118" s="65"/>
      <c r="BI118" s="65"/>
      <c r="BJ118" s="65"/>
      <c r="BK118" s="65" t="s">
        <v>341</v>
      </c>
      <c r="BM118" s="66" t="s">
        <v>195</v>
      </c>
      <c r="BN118" s="65"/>
      <c r="BO118" s="65">
        <f t="shared" si="29"/>
        <v>0</v>
      </c>
      <c r="BP118" s="65"/>
      <c r="BQ118" s="65">
        <f>GenRev!AW118-BO118</f>
        <v>0</v>
      </c>
      <c r="BR118" s="65"/>
      <c r="BS118" s="65"/>
      <c r="BT118" s="65"/>
      <c r="BU118" s="65"/>
      <c r="BV118" s="65"/>
      <c r="BW118" s="3">
        <f t="shared" si="28"/>
        <v>0</v>
      </c>
      <c r="BX118" s="65"/>
      <c r="BY118" s="67">
        <f>+BW118-GenBS!AE118</f>
        <v>0</v>
      </c>
      <c r="CB118" s="65" t="s">
        <v>321</v>
      </c>
      <c r="CC118" s="65" t="str">
        <f t="shared" si="30"/>
        <v>Sandusky Educ Srv Ctr - merged with two other ESC</v>
      </c>
      <c r="CD118" s="65" t="b">
        <f t="shared" si="31"/>
        <v>1</v>
      </c>
      <c r="CE118" s="65" t="b">
        <f t="shared" si="32"/>
        <v>1</v>
      </c>
      <c r="CF118" s="65" t="str">
        <f>GenRev!A118</f>
        <v>Sandusky Educ Srv Ctr - merged with two other ESC</v>
      </c>
      <c r="CG118" s="66" t="b">
        <f t="shared" si="33"/>
        <v>1</v>
      </c>
      <c r="CI118" s="65" t="str">
        <f t="shared" si="34"/>
        <v>Sandusky</v>
      </c>
      <c r="CJ118" s="66" t="b">
        <f t="shared" si="35"/>
        <v>1</v>
      </c>
      <c r="CK118" s="66" t="b">
        <f t="shared" si="36"/>
        <v>1</v>
      </c>
      <c r="CM118" s="66" t="b">
        <f>C118=GenRev!C118</f>
        <v>1</v>
      </c>
    </row>
    <row r="119" spans="1:91" s="16" customFormat="1">
      <c r="A119" s="3" t="s">
        <v>417</v>
      </c>
      <c r="C119" s="16" t="s">
        <v>198</v>
      </c>
      <c r="E119" s="16">
        <v>49742</v>
      </c>
      <c r="G119" s="3">
        <v>50907</v>
      </c>
      <c r="H119" s="3"/>
      <c r="I119" s="3">
        <v>1206943</v>
      </c>
      <c r="J119" s="3"/>
      <c r="K119" s="3">
        <v>0</v>
      </c>
      <c r="L119" s="3"/>
      <c r="M119" s="32">
        <v>0</v>
      </c>
      <c r="N119" s="3"/>
      <c r="O119" s="3">
        <v>0</v>
      </c>
      <c r="P119" s="3"/>
      <c r="Q119" s="3">
        <v>1056386</v>
      </c>
      <c r="R119" s="3"/>
      <c r="S119" s="3">
        <v>536275</v>
      </c>
      <c r="T119" s="3"/>
      <c r="U119" s="3">
        <v>31836</v>
      </c>
      <c r="V119" s="3"/>
      <c r="W119" s="3">
        <v>357049</v>
      </c>
      <c r="X119" s="3"/>
      <c r="Y119" s="3">
        <v>175884</v>
      </c>
      <c r="Z119" s="3"/>
      <c r="AA119" s="3">
        <v>10185</v>
      </c>
      <c r="AB119" s="3"/>
      <c r="AC119" s="3">
        <v>6736</v>
      </c>
      <c r="AD119" s="3" t="s">
        <v>417</v>
      </c>
      <c r="AF119" s="16" t="s">
        <v>198</v>
      </c>
      <c r="AH119" s="3">
        <v>412</v>
      </c>
      <c r="AI119" s="3"/>
      <c r="AJ119" s="3">
        <v>148945</v>
      </c>
      <c r="AK119" s="3"/>
      <c r="AL119" s="3">
        <v>0</v>
      </c>
      <c r="AM119" s="3"/>
      <c r="AN119" s="3">
        <v>0</v>
      </c>
      <c r="AO119" s="3"/>
      <c r="AP119" s="3">
        <v>0</v>
      </c>
      <c r="AQ119" s="3"/>
      <c r="AR119" s="3">
        <v>3268</v>
      </c>
      <c r="AS119" s="3"/>
      <c r="AT119" s="3">
        <v>0</v>
      </c>
      <c r="AU119" s="3"/>
      <c r="AV119" s="3">
        <v>0</v>
      </c>
      <c r="AW119" s="3"/>
      <c r="AX119" s="3">
        <v>10067</v>
      </c>
      <c r="AY119" s="3"/>
      <c r="AZ119" s="3">
        <v>4186</v>
      </c>
      <c r="BA119" s="3"/>
      <c r="BB119" s="3">
        <f t="shared" si="27"/>
        <v>3599079</v>
      </c>
      <c r="BC119" s="3"/>
      <c r="BD119" s="3">
        <v>0</v>
      </c>
      <c r="BE119" s="3"/>
      <c r="BF119" s="3">
        <v>0</v>
      </c>
      <c r="BG119" s="3"/>
      <c r="BH119" s="3">
        <v>0</v>
      </c>
      <c r="BI119" s="3"/>
      <c r="BJ119" s="3">
        <v>0</v>
      </c>
      <c r="BK119" s="3" t="s">
        <v>417</v>
      </c>
      <c r="BM119" s="16" t="s">
        <v>198</v>
      </c>
      <c r="BN119" s="3"/>
      <c r="BO119" s="3">
        <f t="shared" si="29"/>
        <v>3599079</v>
      </c>
      <c r="BP119" s="3"/>
      <c r="BQ119" s="3">
        <f>GenRev!AW119-BO119</f>
        <v>101761</v>
      </c>
      <c r="BR119" s="3"/>
      <c r="BS119" s="3">
        <v>334474</v>
      </c>
      <c r="BT119" s="3"/>
      <c r="BU119" s="3">
        <v>0</v>
      </c>
      <c r="BV119" s="3"/>
      <c r="BW119" s="3">
        <f t="shared" si="28"/>
        <v>436235</v>
      </c>
      <c r="BX119" s="3"/>
      <c r="BY119" s="17">
        <f>+BW119-GenBS!AE119</f>
        <v>0</v>
      </c>
      <c r="CB119" s="32" t="s">
        <v>418</v>
      </c>
      <c r="CC119" s="3" t="str">
        <f t="shared" si="30"/>
        <v>Shelby County Educ Srv Ctr</v>
      </c>
      <c r="CD119" s="3" t="b">
        <f t="shared" si="31"/>
        <v>1</v>
      </c>
      <c r="CE119" s="3" t="b">
        <f t="shared" si="32"/>
        <v>1</v>
      </c>
      <c r="CF119" s="3" t="str">
        <f>GenRev!A119</f>
        <v>Shelby County Educ Srv Ctr</v>
      </c>
      <c r="CG119" s="16" t="b">
        <f t="shared" si="33"/>
        <v>1</v>
      </c>
      <c r="CI119" s="3" t="str">
        <f t="shared" si="34"/>
        <v>Shelby</v>
      </c>
      <c r="CJ119" s="16" t="b">
        <f t="shared" si="35"/>
        <v>1</v>
      </c>
      <c r="CK119" s="16" t="b">
        <f t="shared" si="36"/>
        <v>1</v>
      </c>
      <c r="CM119" s="16" t="b">
        <f>C119=GenRev!C119</f>
        <v>1</v>
      </c>
    </row>
    <row r="120" spans="1:91" s="16" customFormat="1">
      <c r="A120" s="3" t="s">
        <v>275</v>
      </c>
      <c r="C120" s="16" t="s">
        <v>196</v>
      </c>
      <c r="E120" s="16">
        <v>125658</v>
      </c>
      <c r="G120" s="3">
        <v>354669</v>
      </c>
      <c r="H120" s="3"/>
      <c r="I120" s="3">
        <v>3465636</v>
      </c>
      <c r="J120" s="3"/>
      <c r="K120" s="3">
        <v>0</v>
      </c>
      <c r="L120" s="3"/>
      <c r="M120" s="32">
        <v>32101</v>
      </c>
      <c r="N120" s="3"/>
      <c r="O120" s="3">
        <v>0</v>
      </c>
      <c r="P120" s="3"/>
      <c r="Q120" s="3">
        <v>2003256</v>
      </c>
      <c r="R120" s="3"/>
      <c r="S120" s="3">
        <v>801269</v>
      </c>
      <c r="T120" s="3"/>
      <c r="U120" s="3">
        <v>31443</v>
      </c>
      <c r="V120" s="3"/>
      <c r="W120" s="3">
        <v>655334</v>
      </c>
      <c r="X120" s="3"/>
      <c r="Y120" s="3">
        <v>193772</v>
      </c>
      <c r="Z120" s="3"/>
      <c r="AA120" s="3">
        <v>0</v>
      </c>
      <c r="AB120" s="3"/>
      <c r="AC120" s="3">
        <v>105712</v>
      </c>
      <c r="AD120" s="3" t="s">
        <v>275</v>
      </c>
      <c r="AF120" s="16" t="s">
        <v>196</v>
      </c>
      <c r="AH120" s="3">
        <v>3562</v>
      </c>
      <c r="AI120" s="3"/>
      <c r="AJ120" s="3">
        <v>143875</v>
      </c>
      <c r="AK120" s="3"/>
      <c r="AL120" s="3">
        <v>0</v>
      </c>
      <c r="AM120" s="3"/>
      <c r="AN120" s="3">
        <v>0</v>
      </c>
      <c r="AO120" s="3"/>
      <c r="AP120" s="3">
        <v>0</v>
      </c>
      <c r="AQ120" s="3"/>
      <c r="AR120" s="3">
        <v>0</v>
      </c>
      <c r="AS120" s="3"/>
      <c r="AT120" s="3">
        <v>0</v>
      </c>
      <c r="AU120" s="3"/>
      <c r="AV120" s="3">
        <v>0</v>
      </c>
      <c r="AW120" s="3"/>
      <c r="AX120" s="3">
        <v>26842</v>
      </c>
      <c r="AY120" s="3"/>
      <c r="AZ120" s="3">
        <v>2580</v>
      </c>
      <c r="BA120" s="3"/>
      <c r="BB120" s="3">
        <f t="shared" si="27"/>
        <v>7820051</v>
      </c>
      <c r="BC120" s="3"/>
      <c r="BD120" s="3">
        <v>0</v>
      </c>
      <c r="BE120" s="3"/>
      <c r="BF120" s="3">
        <v>0</v>
      </c>
      <c r="BG120" s="3"/>
      <c r="BH120" s="3">
        <v>0</v>
      </c>
      <c r="BI120" s="3"/>
      <c r="BJ120" s="3">
        <v>0</v>
      </c>
      <c r="BK120" s="3" t="s">
        <v>275</v>
      </c>
      <c r="BM120" s="16" t="s">
        <v>196</v>
      </c>
      <c r="BN120" s="3"/>
      <c r="BO120" s="3">
        <f t="shared" si="29"/>
        <v>7820051</v>
      </c>
      <c r="BP120" s="3"/>
      <c r="BQ120" s="3">
        <f>GenRev!AW120-BO120</f>
        <v>275385</v>
      </c>
      <c r="BR120" s="3"/>
      <c r="BS120" s="3">
        <v>619120</v>
      </c>
      <c r="BT120" s="3"/>
      <c r="BU120" s="3">
        <v>0</v>
      </c>
      <c r="BV120" s="3"/>
      <c r="BW120" s="3">
        <f t="shared" si="28"/>
        <v>894505</v>
      </c>
      <c r="BX120" s="3"/>
      <c r="BY120" s="17">
        <f>+BW120-GenBS!AE120</f>
        <v>0</v>
      </c>
      <c r="CB120" s="3"/>
      <c r="CC120" s="3" t="str">
        <f t="shared" si="30"/>
        <v>South Central Ohio Educ Srv Ctr</v>
      </c>
      <c r="CD120" s="3" t="b">
        <f t="shared" si="31"/>
        <v>1</v>
      </c>
      <c r="CE120" s="3" t="b">
        <f t="shared" si="32"/>
        <v>1</v>
      </c>
      <c r="CF120" s="3" t="str">
        <f>GenRev!A120</f>
        <v>South Central Ohio Educ Srv Ctr</v>
      </c>
      <c r="CG120" s="16" t="b">
        <f t="shared" si="33"/>
        <v>1</v>
      </c>
      <c r="CI120" s="3" t="str">
        <f t="shared" si="34"/>
        <v>Scioto</v>
      </c>
      <c r="CJ120" s="16" t="b">
        <f t="shared" si="35"/>
        <v>1</v>
      </c>
      <c r="CK120" s="16" t="b">
        <f t="shared" si="36"/>
        <v>1</v>
      </c>
      <c r="CM120" s="16" t="b">
        <f>C120=GenRev!C120</f>
        <v>1</v>
      </c>
    </row>
    <row r="121" spans="1:91" s="16" customFormat="1">
      <c r="A121" s="3" t="s">
        <v>274</v>
      </c>
      <c r="B121" s="3"/>
      <c r="C121" s="3" t="s">
        <v>158</v>
      </c>
      <c r="G121" s="3">
        <v>409628</v>
      </c>
      <c r="H121" s="3"/>
      <c r="I121" s="3">
        <v>563739</v>
      </c>
      <c r="J121" s="3"/>
      <c r="K121" s="3">
        <v>0</v>
      </c>
      <c r="L121" s="3"/>
      <c r="M121" s="32">
        <v>0</v>
      </c>
      <c r="N121" s="3"/>
      <c r="O121" s="3">
        <v>0</v>
      </c>
      <c r="P121" s="3"/>
      <c r="Q121" s="3">
        <v>335238</v>
      </c>
      <c r="R121" s="3"/>
      <c r="S121" s="3">
        <v>1191181</v>
      </c>
      <c r="T121" s="3"/>
      <c r="U121" s="3">
        <v>30089</v>
      </c>
      <c r="V121" s="3"/>
      <c r="W121" s="3">
        <v>517939</v>
      </c>
      <c r="X121" s="3"/>
      <c r="Y121" s="3">
        <v>229047</v>
      </c>
      <c r="Z121" s="3"/>
      <c r="AA121" s="3">
        <v>0</v>
      </c>
      <c r="AB121" s="3"/>
      <c r="AC121" s="3">
        <v>63518</v>
      </c>
      <c r="AD121" s="3" t="s">
        <v>274</v>
      </c>
      <c r="AE121" s="3"/>
      <c r="AF121" s="3" t="s">
        <v>158</v>
      </c>
      <c r="AG121" s="3"/>
      <c r="AH121" s="3">
        <v>0</v>
      </c>
      <c r="AI121" s="3"/>
      <c r="AJ121" s="3">
        <v>233277</v>
      </c>
      <c r="AK121" s="3"/>
      <c r="AL121" s="3">
        <v>0</v>
      </c>
      <c r="AM121" s="3"/>
      <c r="AN121" s="3">
        <v>0</v>
      </c>
      <c r="AO121" s="3"/>
      <c r="AP121" s="3">
        <v>0</v>
      </c>
      <c r="AQ121" s="3"/>
      <c r="AR121" s="3">
        <v>0</v>
      </c>
      <c r="AS121" s="3"/>
      <c r="AT121" s="3">
        <v>0</v>
      </c>
      <c r="AU121" s="3"/>
      <c r="AV121" s="3">
        <v>0</v>
      </c>
      <c r="AW121" s="3"/>
      <c r="AX121" s="3">
        <v>0</v>
      </c>
      <c r="AY121" s="3"/>
      <c r="AZ121" s="3">
        <v>0</v>
      </c>
      <c r="BA121" s="3"/>
      <c r="BB121" s="3">
        <f t="shared" si="27"/>
        <v>3573656</v>
      </c>
      <c r="BC121" s="3"/>
      <c r="BD121" s="3">
        <v>0</v>
      </c>
      <c r="BE121" s="3"/>
      <c r="BF121" s="3">
        <v>0</v>
      </c>
      <c r="BG121" s="3"/>
      <c r="BH121" s="3">
        <v>0</v>
      </c>
      <c r="BI121" s="3"/>
      <c r="BJ121" s="3">
        <v>0</v>
      </c>
      <c r="BK121" s="3" t="s">
        <v>274</v>
      </c>
      <c r="BL121" s="3"/>
      <c r="BM121" s="3" t="s">
        <v>158</v>
      </c>
      <c r="BN121" s="3"/>
      <c r="BO121" s="3">
        <f t="shared" si="29"/>
        <v>3573656</v>
      </c>
      <c r="BP121" s="3"/>
      <c r="BQ121" s="3">
        <f>GenRev!AW121-BO121</f>
        <v>-115098</v>
      </c>
      <c r="BR121" s="3"/>
      <c r="BS121" s="3">
        <v>2543241</v>
      </c>
      <c r="BT121" s="3"/>
      <c r="BU121" s="3">
        <v>0</v>
      </c>
      <c r="BV121" s="3"/>
      <c r="BW121" s="3">
        <f t="shared" si="28"/>
        <v>2428143</v>
      </c>
      <c r="BX121" s="3"/>
      <c r="BY121" s="17">
        <f>+BW121-GenBS!AE121</f>
        <v>0</v>
      </c>
      <c r="CB121" s="19"/>
      <c r="CC121" s="3" t="str">
        <f t="shared" si="30"/>
        <v>Southern Ohio Educ Srv Ctr</v>
      </c>
      <c r="CD121" s="3" t="b">
        <f t="shared" si="31"/>
        <v>1</v>
      </c>
      <c r="CE121" s="3" t="b">
        <f t="shared" si="32"/>
        <v>1</v>
      </c>
      <c r="CF121" s="3" t="str">
        <f>GenRev!A121</f>
        <v>Southern Ohio Educ Srv Ctr</v>
      </c>
      <c r="CG121" s="16" t="b">
        <f t="shared" si="33"/>
        <v>1</v>
      </c>
      <c r="CI121" s="3" t="str">
        <f t="shared" si="34"/>
        <v>Clinton</v>
      </c>
      <c r="CJ121" s="16" t="b">
        <f t="shared" si="35"/>
        <v>1</v>
      </c>
      <c r="CK121" s="16" t="b">
        <f t="shared" si="36"/>
        <v>1</v>
      </c>
      <c r="CM121" s="16" t="b">
        <f>C121=GenRev!C121</f>
        <v>1</v>
      </c>
    </row>
    <row r="122" spans="1:91" s="16" customFormat="1">
      <c r="A122" s="16" t="s">
        <v>419</v>
      </c>
      <c r="C122" s="16" t="s">
        <v>199</v>
      </c>
      <c r="E122" s="16">
        <v>49825</v>
      </c>
      <c r="G122" s="3">
        <v>0</v>
      </c>
      <c r="H122" s="3"/>
      <c r="I122" s="3">
        <v>4628122</v>
      </c>
      <c r="J122" s="3"/>
      <c r="K122" s="3">
        <v>0</v>
      </c>
      <c r="L122" s="3"/>
      <c r="M122" s="32">
        <v>0</v>
      </c>
      <c r="N122" s="3"/>
      <c r="O122" s="3">
        <v>0</v>
      </c>
      <c r="P122" s="3"/>
      <c r="Q122" s="3">
        <v>3136057</v>
      </c>
      <c r="R122" s="3"/>
      <c r="S122" s="3">
        <v>4215186</v>
      </c>
      <c r="T122" s="3"/>
      <c r="U122" s="3">
        <v>6452</v>
      </c>
      <c r="V122" s="3"/>
      <c r="W122" s="3">
        <v>3357251</v>
      </c>
      <c r="X122" s="3"/>
      <c r="Y122" s="3">
        <v>377858</v>
      </c>
      <c r="Z122" s="3"/>
      <c r="AA122" s="3">
        <v>682989</v>
      </c>
      <c r="AB122" s="3"/>
      <c r="AC122" s="3">
        <v>167311</v>
      </c>
      <c r="AD122" s="16" t="s">
        <v>419</v>
      </c>
      <c r="AF122" s="16" t="s">
        <v>199</v>
      </c>
      <c r="AH122" s="3">
        <v>0</v>
      </c>
      <c r="AI122" s="3"/>
      <c r="AJ122" s="3">
        <v>83543</v>
      </c>
      <c r="AK122" s="3"/>
      <c r="AL122" s="3">
        <v>0</v>
      </c>
      <c r="AM122" s="3"/>
      <c r="AN122" s="3">
        <v>0</v>
      </c>
      <c r="AO122" s="3"/>
      <c r="AP122" s="3">
        <v>0</v>
      </c>
      <c r="AQ122" s="3"/>
      <c r="AR122" s="3">
        <v>0</v>
      </c>
      <c r="AS122" s="3"/>
      <c r="AT122" s="3">
        <v>0</v>
      </c>
      <c r="AU122" s="3"/>
      <c r="AV122" s="3">
        <v>0</v>
      </c>
      <c r="AW122" s="3"/>
      <c r="AX122" s="3">
        <v>0</v>
      </c>
      <c r="AY122" s="3"/>
      <c r="AZ122" s="3">
        <v>0</v>
      </c>
      <c r="BA122" s="3"/>
      <c r="BB122" s="3">
        <f t="shared" si="27"/>
        <v>16654769</v>
      </c>
      <c r="BC122" s="3"/>
      <c r="BD122" s="3">
        <v>0</v>
      </c>
      <c r="BE122" s="3"/>
      <c r="BF122" s="3">
        <v>0</v>
      </c>
      <c r="BG122" s="3"/>
      <c r="BH122" s="3">
        <v>0</v>
      </c>
      <c r="BI122" s="3"/>
      <c r="BJ122" s="3">
        <v>0</v>
      </c>
      <c r="BK122" s="16" t="s">
        <v>419</v>
      </c>
      <c r="BM122" s="16" t="s">
        <v>199</v>
      </c>
      <c r="BN122" s="3"/>
      <c r="BO122" s="3">
        <f t="shared" si="29"/>
        <v>16654769</v>
      </c>
      <c r="BP122" s="3"/>
      <c r="BQ122" s="3">
        <f>GenRev!AW122-BO122</f>
        <v>321320</v>
      </c>
      <c r="BR122" s="3"/>
      <c r="BS122" s="3">
        <v>-175857</v>
      </c>
      <c r="BT122" s="3"/>
      <c r="BU122" s="3">
        <v>0</v>
      </c>
      <c r="BV122" s="3"/>
      <c r="BW122" s="3">
        <f t="shared" si="28"/>
        <v>145463</v>
      </c>
      <c r="BX122" s="3"/>
      <c r="BY122" s="17">
        <f>+BW122-GenBS!AE122</f>
        <v>0</v>
      </c>
      <c r="CB122" s="30"/>
      <c r="CC122" s="3" t="str">
        <f t="shared" si="30"/>
        <v xml:space="preserve">Stark County Educ Srv Ctr  </v>
      </c>
      <c r="CD122" s="3" t="b">
        <f t="shared" si="31"/>
        <v>1</v>
      </c>
      <c r="CE122" s="3" t="b">
        <f t="shared" si="32"/>
        <v>1</v>
      </c>
      <c r="CF122" s="3" t="str">
        <f>GenRev!A122</f>
        <v xml:space="preserve">Stark County Educ Srv Ctr  </v>
      </c>
      <c r="CG122" s="16" t="b">
        <f t="shared" si="33"/>
        <v>1</v>
      </c>
      <c r="CI122" s="3" t="str">
        <f t="shared" si="34"/>
        <v>Stark</v>
      </c>
      <c r="CJ122" s="16" t="b">
        <f t="shared" si="35"/>
        <v>1</v>
      </c>
      <c r="CK122" s="16" t="b">
        <f t="shared" si="36"/>
        <v>1</v>
      </c>
      <c r="CM122" s="16" t="b">
        <f>C122=GenRev!C122</f>
        <v>1</v>
      </c>
    </row>
    <row r="123" spans="1:91" s="16" customFormat="1">
      <c r="A123" s="3" t="s">
        <v>420</v>
      </c>
      <c r="C123" s="16" t="s">
        <v>200</v>
      </c>
      <c r="E123" s="16">
        <v>49965</v>
      </c>
      <c r="G123" s="3">
        <v>682576</v>
      </c>
      <c r="H123" s="3"/>
      <c r="I123" s="3">
        <v>4190865</v>
      </c>
      <c r="J123" s="3"/>
      <c r="K123" s="3">
        <v>88926</v>
      </c>
      <c r="L123" s="3"/>
      <c r="M123" s="32">
        <v>0</v>
      </c>
      <c r="N123" s="3"/>
      <c r="O123" s="3">
        <v>0</v>
      </c>
      <c r="P123" s="3"/>
      <c r="Q123" s="3">
        <v>3099159</v>
      </c>
      <c r="R123" s="3"/>
      <c r="S123" s="3">
        <v>2271493</v>
      </c>
      <c r="T123" s="3"/>
      <c r="U123" s="3">
        <v>59229</v>
      </c>
      <c r="V123" s="3"/>
      <c r="W123" s="3">
        <v>703439</v>
      </c>
      <c r="X123" s="3"/>
      <c r="Y123" s="3">
        <v>320614</v>
      </c>
      <c r="Z123" s="3"/>
      <c r="AA123" s="3">
        <v>45163</v>
      </c>
      <c r="AB123" s="3"/>
      <c r="AC123" s="3">
        <v>219540</v>
      </c>
      <c r="AD123" s="3" t="s">
        <v>420</v>
      </c>
      <c r="AF123" s="16" t="s">
        <v>200</v>
      </c>
      <c r="AH123" s="3">
        <v>0</v>
      </c>
      <c r="AI123" s="3"/>
      <c r="AJ123" s="3">
        <v>166306</v>
      </c>
      <c r="AK123" s="3"/>
      <c r="AL123" s="3">
        <v>0</v>
      </c>
      <c r="AM123" s="3"/>
      <c r="AN123" s="3">
        <v>0</v>
      </c>
      <c r="AO123" s="3"/>
      <c r="AP123" s="3">
        <v>0</v>
      </c>
      <c r="AQ123" s="3"/>
      <c r="AR123" s="3">
        <v>55936</v>
      </c>
      <c r="AS123" s="3"/>
      <c r="AT123" s="3">
        <v>0</v>
      </c>
      <c r="AU123" s="3"/>
      <c r="AV123" s="3">
        <v>0</v>
      </c>
      <c r="AW123" s="3"/>
      <c r="AX123" s="3">
        <v>72407</v>
      </c>
      <c r="AY123" s="3"/>
      <c r="AZ123" s="3">
        <v>43172</v>
      </c>
      <c r="BA123" s="3"/>
      <c r="BB123" s="3">
        <f t="shared" si="27"/>
        <v>12018825</v>
      </c>
      <c r="BC123" s="3"/>
      <c r="BD123" s="3">
        <v>0</v>
      </c>
      <c r="BE123" s="3"/>
      <c r="BF123" s="3">
        <v>0</v>
      </c>
      <c r="BG123" s="3"/>
      <c r="BH123" s="3">
        <v>0</v>
      </c>
      <c r="BI123" s="3"/>
      <c r="BJ123" s="3">
        <v>0</v>
      </c>
      <c r="BK123" s="3" t="s">
        <v>420</v>
      </c>
      <c r="BM123" s="16" t="s">
        <v>200</v>
      </c>
      <c r="BN123" s="3"/>
      <c r="BO123" s="3">
        <f t="shared" si="29"/>
        <v>12018825</v>
      </c>
      <c r="BP123" s="3"/>
      <c r="BQ123" s="3">
        <f>GenRev!AW123-BO123</f>
        <v>674227</v>
      </c>
      <c r="BR123" s="3"/>
      <c r="BS123" s="3">
        <v>5429513</v>
      </c>
      <c r="BT123" s="3"/>
      <c r="BU123" s="3">
        <v>0</v>
      </c>
      <c r="BV123" s="3"/>
      <c r="BW123" s="3">
        <f t="shared" si="28"/>
        <v>6103740</v>
      </c>
      <c r="BX123" s="3"/>
      <c r="BY123" s="17">
        <f>+BW123-GenBS!AE123</f>
        <v>0</v>
      </c>
      <c r="CB123" s="32" t="s">
        <v>305</v>
      </c>
      <c r="CC123" s="3" t="str">
        <f t="shared" si="30"/>
        <v>Summit County Educ Srv Ctr</v>
      </c>
      <c r="CD123" s="3" t="b">
        <f t="shared" si="31"/>
        <v>1</v>
      </c>
      <c r="CE123" s="3" t="b">
        <f t="shared" si="32"/>
        <v>1</v>
      </c>
      <c r="CF123" s="3" t="str">
        <f>GenRev!A123</f>
        <v>Summit County Educ Srv Ctr</v>
      </c>
      <c r="CG123" s="16" t="b">
        <f t="shared" si="33"/>
        <v>1</v>
      </c>
      <c r="CI123" s="3" t="str">
        <f t="shared" si="34"/>
        <v>Summit</v>
      </c>
      <c r="CJ123" s="16" t="b">
        <f t="shared" si="35"/>
        <v>1</v>
      </c>
      <c r="CK123" s="16" t="b">
        <f t="shared" si="36"/>
        <v>1</v>
      </c>
      <c r="CM123" s="16" t="b">
        <f>C123=GenRev!C123</f>
        <v>1</v>
      </c>
    </row>
    <row r="124" spans="1:91" s="16" customFormat="1">
      <c r="A124" s="3" t="s">
        <v>207</v>
      </c>
      <c r="C124" s="16" t="s">
        <v>208</v>
      </c>
      <c r="E124" s="16">
        <v>50526</v>
      </c>
      <c r="G124" s="3">
        <v>333667</v>
      </c>
      <c r="H124" s="3"/>
      <c r="I124" s="3">
        <v>2663268</v>
      </c>
      <c r="J124" s="3"/>
      <c r="K124" s="3">
        <v>0</v>
      </c>
      <c r="L124" s="3"/>
      <c r="M124" s="32">
        <v>74957</v>
      </c>
      <c r="N124" s="3"/>
      <c r="O124" s="3">
        <v>0</v>
      </c>
      <c r="P124" s="3"/>
      <c r="Q124" s="3">
        <v>3940619</v>
      </c>
      <c r="R124" s="3"/>
      <c r="S124" s="3">
        <v>1325978</v>
      </c>
      <c r="T124" s="3"/>
      <c r="U124" s="3">
        <v>43489</v>
      </c>
      <c r="V124" s="3"/>
      <c r="W124" s="3">
        <v>1015203</v>
      </c>
      <c r="X124" s="3"/>
      <c r="Y124" s="3">
        <v>309893</v>
      </c>
      <c r="Z124" s="3"/>
      <c r="AA124" s="3">
        <v>156550</v>
      </c>
      <c r="AB124" s="3"/>
      <c r="AC124" s="3">
        <v>262634</v>
      </c>
      <c r="AD124" s="3" t="s">
        <v>207</v>
      </c>
      <c r="AF124" s="16" t="s">
        <v>208</v>
      </c>
      <c r="AH124" s="3">
        <v>191970</v>
      </c>
      <c r="AI124" s="3"/>
      <c r="AJ124" s="3">
        <v>1958185</v>
      </c>
      <c r="AK124" s="3"/>
      <c r="AL124" s="3">
        <v>0</v>
      </c>
      <c r="AM124" s="3"/>
      <c r="AN124" s="3">
        <v>0</v>
      </c>
      <c r="AO124" s="3"/>
      <c r="AP124" s="3">
        <v>707843</v>
      </c>
      <c r="AQ124" s="3"/>
      <c r="AR124" s="3">
        <v>0</v>
      </c>
      <c r="AS124" s="3"/>
      <c r="AT124" s="3">
        <v>0</v>
      </c>
      <c r="AU124" s="3"/>
      <c r="AV124" s="3">
        <v>0</v>
      </c>
      <c r="AW124" s="3"/>
      <c r="AX124" s="3">
        <v>0</v>
      </c>
      <c r="AY124" s="3"/>
      <c r="AZ124" s="3">
        <v>0</v>
      </c>
      <c r="BA124" s="3"/>
      <c r="BB124" s="3">
        <f t="shared" si="27"/>
        <v>12984256</v>
      </c>
      <c r="BC124" s="3"/>
      <c r="BD124" s="3">
        <v>1897</v>
      </c>
      <c r="BE124" s="3"/>
      <c r="BF124" s="3">
        <v>0</v>
      </c>
      <c r="BG124" s="3"/>
      <c r="BH124" s="3">
        <v>0</v>
      </c>
      <c r="BI124" s="3"/>
      <c r="BJ124" s="3">
        <v>0</v>
      </c>
      <c r="BK124" s="3" t="s">
        <v>207</v>
      </c>
      <c r="BM124" s="16" t="s">
        <v>208</v>
      </c>
      <c r="BN124" s="3"/>
      <c r="BO124" s="3">
        <f t="shared" si="29"/>
        <v>12986153</v>
      </c>
      <c r="BP124" s="3"/>
      <c r="BQ124" s="3">
        <f>GenRev!AW124-BO124</f>
        <v>150481</v>
      </c>
      <c r="BR124" s="3"/>
      <c r="BS124" s="3">
        <v>1428325</v>
      </c>
      <c r="BT124" s="3"/>
      <c r="BU124" s="3">
        <v>0</v>
      </c>
      <c r="BV124" s="3"/>
      <c r="BW124" s="3">
        <f t="shared" si="28"/>
        <v>1578806</v>
      </c>
      <c r="BX124" s="3"/>
      <c r="BY124" s="17">
        <f>+BW124-GenBS!AE124</f>
        <v>0</v>
      </c>
      <c r="CB124" s="32"/>
      <c r="CC124" s="3" t="str">
        <f t="shared" si="30"/>
        <v>Tri-County Educ Srv Ctr</v>
      </c>
      <c r="CD124" s="3" t="b">
        <f t="shared" si="31"/>
        <v>1</v>
      </c>
      <c r="CE124" s="3" t="b">
        <f t="shared" si="32"/>
        <v>1</v>
      </c>
      <c r="CF124" s="3" t="str">
        <f>GenRev!A124</f>
        <v>Tri-County Educ Srv Ctr</v>
      </c>
      <c r="CG124" s="16" t="b">
        <f t="shared" si="33"/>
        <v>1</v>
      </c>
      <c r="CI124" s="3" t="str">
        <f t="shared" si="34"/>
        <v>Wayne</v>
      </c>
      <c r="CJ124" s="16" t="b">
        <f t="shared" si="35"/>
        <v>1</v>
      </c>
      <c r="CK124" s="16" t="b">
        <f t="shared" si="36"/>
        <v>1</v>
      </c>
      <c r="CM124" s="16" t="b">
        <f>C124=GenRev!C124</f>
        <v>1</v>
      </c>
    </row>
    <row r="125" spans="1:91" s="16" customFormat="1">
      <c r="A125" s="3" t="s">
        <v>422</v>
      </c>
      <c r="C125" s="16" t="s">
        <v>201</v>
      </c>
      <c r="E125" s="16">
        <v>50088</v>
      </c>
      <c r="G125" s="3">
        <v>343540</v>
      </c>
      <c r="H125" s="3"/>
      <c r="I125" s="3">
        <v>6085866</v>
      </c>
      <c r="J125" s="3"/>
      <c r="K125" s="3">
        <v>0</v>
      </c>
      <c r="L125" s="3"/>
      <c r="M125" s="32">
        <v>0</v>
      </c>
      <c r="N125" s="3"/>
      <c r="O125" s="3">
        <v>0</v>
      </c>
      <c r="P125" s="3"/>
      <c r="Q125" s="3">
        <v>4158496</v>
      </c>
      <c r="R125" s="3"/>
      <c r="S125" s="3">
        <v>2060332</v>
      </c>
      <c r="T125" s="3"/>
      <c r="U125" s="3">
        <v>90563</v>
      </c>
      <c r="V125" s="3"/>
      <c r="W125" s="3">
        <v>2599833</v>
      </c>
      <c r="X125" s="3"/>
      <c r="Y125" s="3">
        <v>296262</v>
      </c>
      <c r="Z125" s="3"/>
      <c r="AA125" s="3">
        <v>37346</v>
      </c>
      <c r="AB125" s="3"/>
      <c r="AC125" s="3">
        <v>189020</v>
      </c>
      <c r="AD125" s="3" t="s">
        <v>422</v>
      </c>
      <c r="AF125" s="16" t="s">
        <v>201</v>
      </c>
      <c r="AH125" s="3">
        <v>24122</v>
      </c>
      <c r="AI125" s="3"/>
      <c r="AJ125" s="3">
        <v>0</v>
      </c>
      <c r="AK125" s="3"/>
      <c r="AL125" s="3">
        <v>0</v>
      </c>
      <c r="AM125" s="3"/>
      <c r="AN125" s="3">
        <v>0</v>
      </c>
      <c r="AO125" s="3"/>
      <c r="AP125" s="3">
        <v>0</v>
      </c>
      <c r="AQ125" s="3"/>
      <c r="AR125" s="3">
        <v>0</v>
      </c>
      <c r="AS125" s="3"/>
      <c r="AT125" s="3">
        <f>10493+41231</f>
        <v>51724</v>
      </c>
      <c r="AU125" s="3"/>
      <c r="AV125" s="3">
        <v>0</v>
      </c>
      <c r="AW125" s="3"/>
      <c r="AX125" s="3">
        <v>6719</v>
      </c>
      <c r="AY125" s="3"/>
      <c r="AZ125" s="3">
        <v>1971</v>
      </c>
      <c r="BA125" s="3"/>
      <c r="BB125" s="3">
        <f t="shared" si="27"/>
        <v>15945794</v>
      </c>
      <c r="BC125" s="3"/>
      <c r="BD125" s="3">
        <v>0</v>
      </c>
      <c r="BE125" s="3"/>
      <c r="BF125" s="3">
        <v>0</v>
      </c>
      <c r="BG125" s="3"/>
      <c r="BH125" s="3">
        <v>0</v>
      </c>
      <c r="BI125" s="3"/>
      <c r="BJ125" s="3">
        <v>0</v>
      </c>
      <c r="BK125" s="3" t="s">
        <v>422</v>
      </c>
      <c r="BM125" s="16" t="s">
        <v>201</v>
      </c>
      <c r="BN125" s="3"/>
      <c r="BO125" s="3">
        <f t="shared" si="29"/>
        <v>15945794</v>
      </c>
      <c r="BP125" s="3"/>
      <c r="BQ125" s="3">
        <f>GenRev!AW125-BO125</f>
        <v>-345279</v>
      </c>
      <c r="BR125" s="3"/>
      <c r="BS125" s="3">
        <v>4607729</v>
      </c>
      <c r="BT125" s="3"/>
      <c r="BU125" s="3">
        <v>0</v>
      </c>
      <c r="BV125" s="3"/>
      <c r="BW125" s="3">
        <f t="shared" si="28"/>
        <v>4262450</v>
      </c>
      <c r="BX125" s="3"/>
      <c r="BY125" s="17">
        <f>+BW125-GenBS!AE125</f>
        <v>0</v>
      </c>
      <c r="CB125" s="3"/>
      <c r="CC125" s="3" t="str">
        <f t="shared" si="30"/>
        <v>Trumbull County Educ Srv Ctr</v>
      </c>
      <c r="CD125" s="3" t="b">
        <f t="shared" si="31"/>
        <v>1</v>
      </c>
      <c r="CE125" s="3" t="b">
        <f t="shared" si="32"/>
        <v>1</v>
      </c>
      <c r="CF125" s="3" t="str">
        <f>GenRev!A125</f>
        <v>Trumbull County Educ Srv Ctr</v>
      </c>
      <c r="CG125" s="16" t="b">
        <f t="shared" si="33"/>
        <v>1</v>
      </c>
      <c r="CI125" s="3" t="str">
        <f t="shared" si="34"/>
        <v>Trumbull</v>
      </c>
      <c r="CJ125" s="16" t="b">
        <f t="shared" si="35"/>
        <v>1</v>
      </c>
      <c r="CK125" s="16" t="b">
        <f t="shared" si="36"/>
        <v>1</v>
      </c>
      <c r="CM125" s="16" t="b">
        <f>C125=GenRev!C125</f>
        <v>1</v>
      </c>
    </row>
    <row r="126" spans="1:91" s="66" customFormat="1" hidden="1">
      <c r="A126" s="65" t="s">
        <v>342</v>
      </c>
      <c r="C126" s="66" t="s">
        <v>202</v>
      </c>
      <c r="E126" s="66">
        <v>50260</v>
      </c>
      <c r="G126" s="65"/>
      <c r="H126" s="65"/>
      <c r="I126" s="65"/>
      <c r="J126" s="65"/>
      <c r="K126" s="65"/>
      <c r="L126" s="65"/>
      <c r="M126" s="80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 t="s">
        <v>342</v>
      </c>
      <c r="AF126" s="66" t="s">
        <v>202</v>
      </c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>
        <f t="shared" si="27"/>
        <v>0</v>
      </c>
      <c r="BC126" s="65"/>
      <c r="BD126" s="65"/>
      <c r="BE126" s="65"/>
      <c r="BF126" s="65"/>
      <c r="BG126" s="65"/>
      <c r="BH126" s="65"/>
      <c r="BI126" s="65"/>
      <c r="BJ126" s="65"/>
      <c r="BK126" s="65" t="s">
        <v>342</v>
      </c>
      <c r="BM126" s="66" t="s">
        <v>202</v>
      </c>
      <c r="BN126" s="65"/>
      <c r="BO126" s="65">
        <f t="shared" si="29"/>
        <v>0</v>
      </c>
      <c r="BP126" s="65"/>
      <c r="BQ126" s="65">
        <f>GenRev!AW126-BO126</f>
        <v>0</v>
      </c>
      <c r="BR126" s="65"/>
      <c r="BS126" s="65"/>
      <c r="BT126" s="65"/>
      <c r="BU126" s="65"/>
      <c r="BV126" s="65"/>
      <c r="BW126" s="3">
        <f t="shared" si="28"/>
        <v>0</v>
      </c>
      <c r="BX126" s="65"/>
      <c r="BY126" s="67">
        <f>+BW126-GenBS!AE126</f>
        <v>0</v>
      </c>
      <c r="CB126" s="65"/>
      <c r="CC126" s="65" t="str">
        <f t="shared" si="30"/>
        <v>Tuscarawas-Carroll-Harrison Educ Srv Ctr - now East Ctl OH ESC</v>
      </c>
      <c r="CD126" s="65" t="b">
        <f t="shared" si="31"/>
        <v>1</v>
      </c>
      <c r="CE126" s="65" t="b">
        <f t="shared" si="32"/>
        <v>1</v>
      </c>
      <c r="CF126" s="65" t="str">
        <f>GenRev!A126</f>
        <v>Tuscarawas-Carroll-Harrison Educ Srv Ctr - now East Ctl OH ESC</v>
      </c>
      <c r="CG126" s="66" t="b">
        <f t="shared" si="33"/>
        <v>1</v>
      </c>
      <c r="CI126" s="65" t="str">
        <f t="shared" si="34"/>
        <v>Tuscarawas</v>
      </c>
      <c r="CJ126" s="66" t="b">
        <f t="shared" si="35"/>
        <v>1</v>
      </c>
      <c r="CK126" s="66" t="b">
        <f t="shared" si="36"/>
        <v>1</v>
      </c>
      <c r="CM126" s="66" t="b">
        <f>C126=GenRev!C126</f>
        <v>1</v>
      </c>
    </row>
    <row r="127" spans="1:91" s="66" customFormat="1" hidden="1">
      <c r="A127" s="65" t="s">
        <v>424</v>
      </c>
      <c r="C127" s="66" t="s">
        <v>205</v>
      </c>
      <c r="E127" s="66">
        <v>50401</v>
      </c>
      <c r="G127" s="65"/>
      <c r="H127" s="65"/>
      <c r="I127" s="65"/>
      <c r="J127" s="65"/>
      <c r="K127" s="65"/>
      <c r="L127" s="65"/>
      <c r="M127" s="80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 t="s">
        <v>424</v>
      </c>
      <c r="AF127" s="66" t="s">
        <v>205</v>
      </c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>
        <f t="shared" si="27"/>
        <v>0</v>
      </c>
      <c r="BC127" s="65"/>
      <c r="BD127" s="65"/>
      <c r="BE127" s="65"/>
      <c r="BF127" s="65"/>
      <c r="BG127" s="65"/>
      <c r="BH127" s="65"/>
      <c r="BI127" s="65"/>
      <c r="BJ127" s="65"/>
      <c r="BK127" s="65" t="s">
        <v>424</v>
      </c>
      <c r="BM127" s="66" t="s">
        <v>205</v>
      </c>
      <c r="BN127" s="65"/>
      <c r="BO127" s="65">
        <f t="shared" si="29"/>
        <v>0</v>
      </c>
      <c r="BP127" s="65"/>
      <c r="BQ127" s="65">
        <f>GenRev!AW127-BO127</f>
        <v>0</v>
      </c>
      <c r="BR127" s="65"/>
      <c r="BS127" s="65"/>
      <c r="BT127" s="65"/>
      <c r="BU127" s="65"/>
      <c r="BV127" s="65"/>
      <c r="BW127" s="3">
        <f t="shared" si="28"/>
        <v>0</v>
      </c>
      <c r="BX127" s="65"/>
      <c r="BY127" s="67">
        <f>+BW127-GenBS!AE127</f>
        <v>0</v>
      </c>
      <c r="CB127" s="80" t="s">
        <v>410</v>
      </c>
      <c r="CC127" s="65" t="str">
        <f t="shared" si="30"/>
        <v>Warren County Educ Srv Ctr (CASH)</v>
      </c>
      <c r="CD127" s="65" t="b">
        <f t="shared" si="31"/>
        <v>1</v>
      </c>
      <c r="CE127" s="65" t="b">
        <f t="shared" si="32"/>
        <v>1</v>
      </c>
      <c r="CF127" s="65" t="str">
        <f>GenRev!A127</f>
        <v>Warren County Educ Srv Ctr (CASH)</v>
      </c>
      <c r="CG127" s="66" t="b">
        <f t="shared" si="33"/>
        <v>1</v>
      </c>
      <c r="CI127" s="65" t="str">
        <f t="shared" si="34"/>
        <v>Warren</v>
      </c>
      <c r="CJ127" s="66" t="b">
        <f t="shared" si="35"/>
        <v>1</v>
      </c>
      <c r="CK127" s="66" t="b">
        <f t="shared" si="36"/>
        <v>1</v>
      </c>
      <c r="CM127" s="66" t="b">
        <f>C127=GenRev!C127</f>
        <v>1</v>
      </c>
    </row>
    <row r="128" spans="1:91" s="66" customFormat="1" hidden="1">
      <c r="A128" s="65" t="s">
        <v>343</v>
      </c>
      <c r="C128" s="66" t="s">
        <v>206</v>
      </c>
      <c r="E128" s="66">
        <v>50476</v>
      </c>
      <c r="G128" s="65"/>
      <c r="H128" s="65"/>
      <c r="I128" s="65"/>
      <c r="J128" s="65"/>
      <c r="K128" s="65"/>
      <c r="L128" s="65"/>
      <c r="M128" s="80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 t="s">
        <v>343</v>
      </c>
      <c r="AF128" s="66" t="s">
        <v>206</v>
      </c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>
        <f t="shared" si="27"/>
        <v>0</v>
      </c>
      <c r="BC128" s="65"/>
      <c r="BD128" s="65"/>
      <c r="BE128" s="65"/>
      <c r="BF128" s="65"/>
      <c r="BG128" s="65"/>
      <c r="BH128" s="65"/>
      <c r="BI128" s="65"/>
      <c r="BJ128" s="65"/>
      <c r="BK128" s="65" t="s">
        <v>343</v>
      </c>
      <c r="BM128" s="66" t="s">
        <v>206</v>
      </c>
      <c r="BO128" s="65">
        <f t="shared" si="29"/>
        <v>0</v>
      </c>
      <c r="BP128" s="65"/>
      <c r="BQ128" s="65">
        <f>GenRev!AW128-BO128</f>
        <v>0</v>
      </c>
      <c r="BR128" s="65"/>
      <c r="BS128" s="65"/>
      <c r="BT128" s="65"/>
      <c r="BU128" s="65"/>
      <c r="BV128" s="65"/>
      <c r="BW128" s="3">
        <f t="shared" si="28"/>
        <v>0</v>
      </c>
      <c r="BX128" s="65"/>
      <c r="BY128" s="67">
        <f>+BW128-GenBS!AE128</f>
        <v>0</v>
      </c>
      <c r="CC128" s="65" t="str">
        <f t="shared" si="30"/>
        <v>Washington Educ Srv Ctr - merged with Ohio Valley ESC</v>
      </c>
      <c r="CD128" s="65" t="b">
        <f t="shared" si="31"/>
        <v>1</v>
      </c>
      <c r="CE128" s="65" t="b">
        <f t="shared" si="32"/>
        <v>1</v>
      </c>
      <c r="CF128" s="65" t="str">
        <f>GenRev!A128</f>
        <v>Washington Educ Srv Ctr - merged with Ohio Valley ESC</v>
      </c>
      <c r="CG128" s="66" t="b">
        <f t="shared" si="33"/>
        <v>1</v>
      </c>
      <c r="CI128" s="65" t="str">
        <f t="shared" si="34"/>
        <v>Washington</v>
      </c>
      <c r="CJ128" s="66" t="b">
        <f t="shared" si="35"/>
        <v>1</v>
      </c>
      <c r="CK128" s="66" t="b">
        <f t="shared" si="36"/>
        <v>1</v>
      </c>
      <c r="CM128" s="66" t="b">
        <f>C128=GenRev!C128</f>
        <v>1</v>
      </c>
    </row>
    <row r="129" spans="1:91" s="16" customFormat="1">
      <c r="A129" s="3" t="s">
        <v>203</v>
      </c>
      <c r="C129" s="16" t="s">
        <v>270</v>
      </c>
      <c r="E129" s="16">
        <v>134999</v>
      </c>
      <c r="G129" s="3">
        <v>36148</v>
      </c>
      <c r="H129" s="3"/>
      <c r="I129" s="3">
        <v>1328405</v>
      </c>
      <c r="J129" s="3"/>
      <c r="K129" s="3">
        <v>0</v>
      </c>
      <c r="L129" s="3"/>
      <c r="M129" s="32">
        <v>0</v>
      </c>
      <c r="N129" s="3"/>
      <c r="O129" s="3">
        <v>0</v>
      </c>
      <c r="P129" s="3"/>
      <c r="Q129" s="3">
        <v>1155167</v>
      </c>
      <c r="R129" s="3"/>
      <c r="S129" s="3">
        <v>983424</v>
      </c>
      <c r="T129" s="3"/>
      <c r="U129" s="3">
        <v>51413</v>
      </c>
      <c r="V129" s="3"/>
      <c r="W129" s="3">
        <v>477073</v>
      </c>
      <c r="X129" s="3"/>
      <c r="Y129" s="3">
        <v>85652</v>
      </c>
      <c r="Z129" s="3"/>
      <c r="AA129" s="3">
        <v>0</v>
      </c>
      <c r="AB129" s="3"/>
      <c r="AC129" s="3">
        <v>28601</v>
      </c>
      <c r="AD129" s="3" t="s">
        <v>203</v>
      </c>
      <c r="AF129" s="16" t="s">
        <v>270</v>
      </c>
      <c r="AH129" s="3">
        <v>0</v>
      </c>
      <c r="AI129" s="3"/>
      <c r="AJ129" s="3">
        <v>7413</v>
      </c>
      <c r="AK129" s="3"/>
      <c r="AL129" s="3">
        <v>0</v>
      </c>
      <c r="AM129" s="3"/>
      <c r="AN129" s="3">
        <v>0</v>
      </c>
      <c r="AO129" s="3"/>
      <c r="AP129" s="3">
        <v>445</v>
      </c>
      <c r="AQ129" s="3"/>
      <c r="AR129" s="3">
        <v>0</v>
      </c>
      <c r="AS129" s="3"/>
      <c r="AT129" s="3">
        <v>0</v>
      </c>
      <c r="AU129" s="3"/>
      <c r="AV129" s="3">
        <v>0</v>
      </c>
      <c r="AW129" s="3"/>
      <c r="AX129" s="3">
        <v>0</v>
      </c>
      <c r="AY129" s="3"/>
      <c r="AZ129" s="3">
        <v>0</v>
      </c>
      <c r="BA129" s="3"/>
      <c r="BB129" s="3">
        <f>SUM(G129:BA129)</f>
        <v>4153741</v>
      </c>
      <c r="BC129" s="3"/>
      <c r="BD129" s="3">
        <v>0</v>
      </c>
      <c r="BE129" s="3"/>
      <c r="BF129" s="3">
        <v>0</v>
      </c>
      <c r="BG129" s="3"/>
      <c r="BH129" s="3">
        <v>0</v>
      </c>
      <c r="BI129" s="3"/>
      <c r="BJ129" s="3">
        <v>0</v>
      </c>
      <c r="BK129" s="3" t="s">
        <v>203</v>
      </c>
      <c r="BM129" s="16" t="s">
        <v>270</v>
      </c>
      <c r="BN129" s="3"/>
      <c r="BO129" s="3">
        <f t="shared" si="29"/>
        <v>4153741</v>
      </c>
      <c r="BP129" s="3"/>
      <c r="BQ129" s="3">
        <f>GenRev!AW129-BO129</f>
        <v>-167810</v>
      </c>
      <c r="BR129" s="3"/>
      <c r="BS129" s="3">
        <v>443513</v>
      </c>
      <c r="BT129" s="3"/>
      <c r="BU129" s="3">
        <v>0</v>
      </c>
      <c r="BV129" s="3"/>
      <c r="BW129" s="3">
        <f t="shared" si="28"/>
        <v>275703</v>
      </c>
      <c r="BX129" s="3"/>
      <c r="BY129" s="17">
        <f>+BW129-GenBS!AE129</f>
        <v>0</v>
      </c>
      <c r="CB129" s="3"/>
      <c r="CC129" s="3" t="str">
        <f t="shared" si="30"/>
        <v>Western Buckeye Educ Srv Ctr</v>
      </c>
      <c r="CD129" s="3" t="b">
        <f t="shared" si="31"/>
        <v>1</v>
      </c>
      <c r="CE129" s="3" t="b">
        <f t="shared" si="32"/>
        <v>1</v>
      </c>
      <c r="CF129" s="3" t="str">
        <f>GenRev!A129</f>
        <v>Western Buckeye Educ Srv Ctr</v>
      </c>
      <c r="CG129" s="16" t="b">
        <f t="shared" si="33"/>
        <v>1</v>
      </c>
      <c r="CI129" s="3" t="str">
        <f t="shared" si="34"/>
        <v>Paulding</v>
      </c>
      <c r="CJ129" s="16" t="b">
        <f t="shared" si="35"/>
        <v>1</v>
      </c>
      <c r="CK129" s="16" t="b">
        <f t="shared" si="36"/>
        <v>1</v>
      </c>
      <c r="CM129" s="16" t="b">
        <f>C129=GenRev!C129</f>
        <v>1</v>
      </c>
    </row>
    <row r="130" spans="1:91" s="16" customFormat="1">
      <c r="A130" s="3" t="s">
        <v>423</v>
      </c>
      <c r="C130" s="16" t="s">
        <v>209</v>
      </c>
      <c r="E130" s="16">
        <v>50666</v>
      </c>
      <c r="G130" s="3">
        <v>627735</v>
      </c>
      <c r="H130" s="3"/>
      <c r="I130" s="3">
        <v>4684776</v>
      </c>
      <c r="J130" s="3"/>
      <c r="K130" s="3">
        <v>0</v>
      </c>
      <c r="L130" s="3"/>
      <c r="M130" s="32">
        <v>0</v>
      </c>
      <c r="N130" s="3"/>
      <c r="O130" s="3">
        <v>0</v>
      </c>
      <c r="P130" s="3"/>
      <c r="Q130" s="3">
        <v>1828439</v>
      </c>
      <c r="R130" s="3"/>
      <c r="S130" s="3">
        <v>2576088</v>
      </c>
      <c r="T130" s="3"/>
      <c r="U130" s="3">
        <v>30196</v>
      </c>
      <c r="V130" s="3"/>
      <c r="W130" s="3">
        <v>1501019</v>
      </c>
      <c r="X130" s="3"/>
      <c r="Y130" s="3">
        <v>499938</v>
      </c>
      <c r="Z130" s="3"/>
      <c r="AA130" s="3">
        <v>0</v>
      </c>
      <c r="AB130" s="3"/>
      <c r="AC130" s="3">
        <v>90293</v>
      </c>
      <c r="AD130" s="3" t="s">
        <v>423</v>
      </c>
      <c r="AF130" s="16" t="s">
        <v>209</v>
      </c>
      <c r="AH130" s="3">
        <v>56819</v>
      </c>
      <c r="AI130" s="3"/>
      <c r="AJ130" s="3">
        <v>150192</v>
      </c>
      <c r="AK130" s="3"/>
      <c r="AL130" s="3">
        <v>0</v>
      </c>
      <c r="AM130" s="3"/>
      <c r="AN130" s="3">
        <v>0</v>
      </c>
      <c r="AO130" s="3"/>
      <c r="AP130" s="3">
        <v>16833</v>
      </c>
      <c r="AQ130" s="3"/>
      <c r="AR130" s="3">
        <v>0</v>
      </c>
      <c r="AS130" s="3"/>
      <c r="AT130" s="3">
        <v>0</v>
      </c>
      <c r="AU130" s="3"/>
      <c r="AV130" s="3">
        <v>0</v>
      </c>
      <c r="AW130" s="3"/>
      <c r="AX130" s="3">
        <v>0</v>
      </c>
      <c r="AY130" s="3"/>
      <c r="AZ130" s="3">
        <v>0</v>
      </c>
      <c r="BA130" s="3"/>
      <c r="BB130" s="3">
        <f t="shared" si="27"/>
        <v>12062328</v>
      </c>
      <c r="BC130" s="3"/>
      <c r="BD130" s="3">
        <v>0</v>
      </c>
      <c r="BE130" s="3"/>
      <c r="BF130" s="3">
        <v>0</v>
      </c>
      <c r="BG130" s="3"/>
      <c r="BH130" s="3">
        <v>0</v>
      </c>
      <c r="BI130" s="3"/>
      <c r="BJ130" s="3">
        <v>0</v>
      </c>
      <c r="BK130" s="3" t="s">
        <v>423</v>
      </c>
      <c r="BM130" s="16" t="s">
        <v>209</v>
      </c>
      <c r="BN130" s="3"/>
      <c r="BO130" s="3">
        <f t="shared" si="29"/>
        <v>12062328</v>
      </c>
      <c r="BP130" s="3"/>
      <c r="BQ130" s="3">
        <f>GenRev!AW130-BO130</f>
        <v>-211987</v>
      </c>
      <c r="BR130" s="3"/>
      <c r="BS130" s="3">
        <v>3162682</v>
      </c>
      <c r="BT130" s="3"/>
      <c r="BU130" s="3">
        <v>0</v>
      </c>
      <c r="BV130" s="3"/>
      <c r="BW130" s="3">
        <f t="shared" si="28"/>
        <v>2950695</v>
      </c>
      <c r="BX130" s="3"/>
      <c r="BY130" s="17">
        <f>+BW130-GenBS!AE130</f>
        <v>0</v>
      </c>
      <c r="CB130" s="3"/>
      <c r="CC130" s="3" t="str">
        <f t="shared" si="30"/>
        <v>Wood County Educ Srv Ctr</v>
      </c>
      <c r="CD130" s="3" t="b">
        <f t="shared" si="31"/>
        <v>1</v>
      </c>
      <c r="CE130" s="3" t="b">
        <f t="shared" si="32"/>
        <v>1</v>
      </c>
      <c r="CF130" s="3" t="str">
        <f>GenRev!A130</f>
        <v>Wood County Educ Srv Ctr</v>
      </c>
      <c r="CG130" s="16" t="b">
        <f t="shared" si="33"/>
        <v>1</v>
      </c>
      <c r="CI130" s="3" t="str">
        <f t="shared" si="34"/>
        <v>Wood</v>
      </c>
      <c r="CJ130" s="16" t="b">
        <f t="shared" si="35"/>
        <v>1</v>
      </c>
      <c r="CK130" s="16" t="b">
        <f t="shared" si="36"/>
        <v>1</v>
      </c>
      <c r="CM130" s="16" t="b">
        <f>C130=GenRev!C130</f>
        <v>1</v>
      </c>
    </row>
    <row r="131" spans="1:91" s="16" customFormat="1">
      <c r="M131" s="32"/>
      <c r="CF131" s="3"/>
    </row>
    <row r="132" spans="1:91">
      <c r="M132" s="32"/>
      <c r="AC132" s="39" t="s">
        <v>266</v>
      </c>
      <c r="AP132" s="39" t="s">
        <v>266</v>
      </c>
      <c r="BC132" s="39"/>
      <c r="BJ132" s="39" t="s">
        <v>266</v>
      </c>
    </row>
    <row r="133" spans="1:91">
      <c r="M133" s="32"/>
    </row>
    <row r="134" spans="1:91">
      <c r="M134" s="32"/>
    </row>
    <row r="135" spans="1:91">
      <c r="M135" s="32"/>
    </row>
    <row r="136" spans="1:91">
      <c r="G136" s="3"/>
      <c r="H136" s="3"/>
      <c r="I136" s="3"/>
      <c r="J136" s="3"/>
      <c r="K136" s="3"/>
      <c r="L136" s="3"/>
      <c r="M136" s="3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16"/>
      <c r="AE136" s="16"/>
      <c r="AF136" s="16"/>
      <c r="AG136" s="16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>
        <f>SUM(B136:BA136)</f>
        <v>0</v>
      </c>
      <c r="BC136" s="3"/>
      <c r="BD136" s="3"/>
      <c r="BE136" s="3"/>
      <c r="BF136" s="3">
        <v>0</v>
      </c>
      <c r="BG136" s="3"/>
      <c r="BH136" s="3">
        <v>0</v>
      </c>
      <c r="BI136" s="3"/>
      <c r="BJ136" s="3"/>
      <c r="BK136" s="16"/>
      <c r="BL136" s="16"/>
      <c r="BM136" s="16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91">
      <c r="M137" s="32"/>
    </row>
    <row r="138" spans="1:91">
      <c r="M138" s="32"/>
    </row>
    <row r="139" spans="1:91">
      <c r="M139" s="32"/>
    </row>
    <row r="140" spans="1:91">
      <c r="M140" s="32"/>
    </row>
    <row r="141" spans="1:91">
      <c r="M141" s="32"/>
    </row>
    <row r="142" spans="1:91">
      <c r="M142" s="79"/>
    </row>
    <row r="143" spans="1:91">
      <c r="M143" s="80"/>
    </row>
    <row r="144" spans="1:91">
      <c r="M144" s="80"/>
    </row>
    <row r="145" spans="13:13">
      <c r="M145" s="79"/>
    </row>
    <row r="146" spans="13:13">
      <c r="M146" s="79">
        <v>18747</v>
      </c>
    </row>
    <row r="147" spans="13:13">
      <c r="M147" s="79"/>
    </row>
    <row r="148" spans="13:13">
      <c r="M148" s="80"/>
    </row>
    <row r="149" spans="13:13">
      <c r="M149" s="32"/>
    </row>
    <row r="150" spans="13:13">
      <c r="M150" s="32"/>
    </row>
    <row r="151" spans="13:13">
      <c r="M151" s="32"/>
    </row>
    <row r="152" spans="13:13">
      <c r="M152" s="32"/>
    </row>
    <row r="153" spans="13:13">
      <c r="M153" s="32"/>
    </row>
    <row r="154" spans="13:13">
      <c r="M154" s="32"/>
    </row>
    <row r="155" spans="13:13">
      <c r="M155" s="78"/>
    </row>
    <row r="156" spans="13:13">
      <c r="M156" s="32"/>
    </row>
    <row r="157" spans="13:13">
      <c r="M157" s="32"/>
    </row>
    <row r="158" spans="13:13">
      <c r="M158" s="32"/>
    </row>
    <row r="159" spans="13:13">
      <c r="M159" s="32"/>
    </row>
    <row r="160" spans="13:13">
      <c r="M160" s="32"/>
    </row>
    <row r="161" spans="13:13">
      <c r="M161" s="32"/>
    </row>
    <row r="162" spans="13:13">
      <c r="M162" s="32"/>
    </row>
    <row r="163" spans="13:13">
      <c r="M163" s="32"/>
    </row>
    <row r="164" spans="13:13">
      <c r="M164" s="32"/>
    </row>
    <row r="165" spans="13:13">
      <c r="M165" s="32"/>
    </row>
    <row r="166" spans="13:13">
      <c r="M166" s="32"/>
    </row>
    <row r="167" spans="13:13">
      <c r="M167" s="32"/>
    </row>
    <row r="168" spans="13:13">
      <c r="M168" s="32"/>
    </row>
    <row r="169" spans="13:13">
      <c r="M169" s="32"/>
    </row>
    <row r="170" spans="13:13">
      <c r="M170" s="32"/>
    </row>
    <row r="171" spans="13:13">
      <c r="M171" s="32"/>
    </row>
    <row r="172" spans="13:13">
      <c r="M172" s="32"/>
    </row>
    <row r="173" spans="13:13">
      <c r="M173" s="32"/>
    </row>
    <row r="174" spans="13:13">
      <c r="M174" s="32"/>
    </row>
    <row r="175" spans="13:13">
      <c r="M175" s="32"/>
    </row>
    <row r="176" spans="13:13">
      <c r="M176" s="32"/>
    </row>
    <row r="177" spans="13:13">
      <c r="M177" s="32"/>
    </row>
    <row r="178" spans="13:13">
      <c r="M178" s="32"/>
    </row>
    <row r="179" spans="13:13">
      <c r="M179" s="32"/>
    </row>
    <row r="180" spans="13:13">
      <c r="M180" s="32"/>
    </row>
    <row r="181" spans="13:13">
      <c r="M181" s="32"/>
    </row>
    <row r="182" spans="13:13">
      <c r="M182" s="32"/>
    </row>
    <row r="183" spans="13:13">
      <c r="M183" s="32"/>
    </row>
    <row r="184" spans="13:13">
      <c r="M184" s="32"/>
    </row>
    <row r="185" spans="13:13">
      <c r="M185" s="32"/>
    </row>
    <row r="186" spans="13:13">
      <c r="M186" s="32"/>
    </row>
    <row r="187" spans="13:13">
      <c r="M187" s="32"/>
    </row>
    <row r="188" spans="13:13">
      <c r="M188" s="32"/>
    </row>
    <row r="189" spans="13:13">
      <c r="M189" s="32"/>
    </row>
    <row r="190" spans="13:13">
      <c r="M190" s="32"/>
    </row>
    <row r="191" spans="13:13">
      <c r="M191" s="32"/>
    </row>
    <row r="192" spans="13:13">
      <c r="M192" s="32"/>
    </row>
    <row r="193" spans="13:13">
      <c r="M193" s="32"/>
    </row>
    <row r="194" spans="13:13">
      <c r="M194" s="32"/>
    </row>
    <row r="195" spans="13:13">
      <c r="M195" s="32"/>
    </row>
    <row r="196" spans="13:13">
      <c r="M196" s="32"/>
    </row>
    <row r="197" spans="13:13">
      <c r="M197" s="32"/>
    </row>
    <row r="198" spans="13:13">
      <c r="M198" s="32"/>
    </row>
    <row r="199" spans="13:13">
      <c r="M199" s="32"/>
    </row>
    <row r="200" spans="13:13">
      <c r="M200" s="32"/>
    </row>
    <row r="201" spans="13:13">
      <c r="M201" s="32"/>
    </row>
    <row r="202" spans="13:13">
      <c r="M202" s="78"/>
    </row>
    <row r="203" spans="13:13">
      <c r="M203" s="32"/>
    </row>
    <row r="204" spans="13:13">
      <c r="M204" s="32"/>
    </row>
    <row r="205" spans="13:13">
      <c r="M205" s="32"/>
    </row>
    <row r="206" spans="13:13">
      <c r="M206" s="32"/>
    </row>
    <row r="207" spans="13:13">
      <c r="M207" s="32"/>
    </row>
    <row r="208" spans="13:13">
      <c r="M208" s="32"/>
    </row>
    <row r="209" spans="13:13">
      <c r="M209" s="32"/>
    </row>
    <row r="210" spans="13:13">
      <c r="M210" s="32"/>
    </row>
    <row r="211" spans="13:13">
      <c r="M211" s="32"/>
    </row>
    <row r="212" spans="13:13">
      <c r="M212" s="32"/>
    </row>
    <row r="213" spans="13:13">
      <c r="M213" s="32"/>
    </row>
    <row r="214" spans="13:13">
      <c r="M214" s="32"/>
    </row>
    <row r="215" spans="13:13">
      <c r="M215" s="32"/>
    </row>
    <row r="216" spans="13:13">
      <c r="M216" s="32"/>
    </row>
    <row r="217" spans="13:13">
      <c r="M217" s="32"/>
    </row>
    <row r="218" spans="13:13">
      <c r="M218" s="32"/>
    </row>
    <row r="219" spans="13:13">
      <c r="M219" s="32"/>
    </row>
    <row r="220" spans="13:13">
      <c r="M220" s="32"/>
    </row>
    <row r="221" spans="13:13">
      <c r="M221" s="32"/>
    </row>
    <row r="222" spans="13:13">
      <c r="M222" s="32"/>
    </row>
    <row r="223" spans="13:13">
      <c r="M223" s="32"/>
    </row>
    <row r="224" spans="13:13">
      <c r="M224" s="32"/>
    </row>
    <row r="225" spans="13:13">
      <c r="M225" s="32"/>
    </row>
    <row r="226" spans="13:13">
      <c r="M226" s="32"/>
    </row>
    <row r="227" spans="13:13">
      <c r="M227" s="32"/>
    </row>
    <row r="228" spans="13:13">
      <c r="M228" s="32"/>
    </row>
    <row r="229" spans="13:13">
      <c r="M229" s="32"/>
    </row>
    <row r="230" spans="13:13">
      <c r="M230" s="32"/>
    </row>
    <row r="231" spans="13:13">
      <c r="M231" s="78"/>
    </row>
    <row r="232" spans="13:13">
      <c r="M232" s="32"/>
    </row>
    <row r="233" spans="13:13">
      <c r="M233" s="32"/>
    </row>
    <row r="234" spans="13:13">
      <c r="M234" s="32"/>
    </row>
    <row r="235" spans="13:13">
      <c r="M235" s="32"/>
    </row>
    <row r="236" spans="13:13">
      <c r="M236" s="32"/>
    </row>
    <row r="237" spans="13:13">
      <c r="M237" s="32"/>
    </row>
    <row r="238" spans="13:13">
      <c r="M238" s="32"/>
    </row>
    <row r="239" spans="13:13">
      <c r="M239" s="32"/>
    </row>
    <row r="240" spans="13:13">
      <c r="M240" s="32"/>
    </row>
    <row r="241" spans="13:13">
      <c r="M241" s="32"/>
    </row>
    <row r="242" spans="13:13">
      <c r="M242" s="32"/>
    </row>
    <row r="243" spans="13:13">
      <c r="M243" s="32"/>
    </row>
    <row r="244" spans="13:13">
      <c r="M244" s="32"/>
    </row>
    <row r="245" spans="13:13">
      <c r="M245" s="32"/>
    </row>
    <row r="246" spans="13:13">
      <c r="M246" s="32"/>
    </row>
    <row r="247" spans="13:13">
      <c r="M247" s="32"/>
    </row>
    <row r="248" spans="13:13">
      <c r="M248" s="32"/>
    </row>
    <row r="249" spans="13:13">
      <c r="M249" s="32"/>
    </row>
    <row r="250" spans="13:13">
      <c r="M250" s="32"/>
    </row>
    <row r="251" spans="13:13">
      <c r="M251" s="32"/>
    </row>
    <row r="252" spans="13:13">
      <c r="M252" s="32"/>
    </row>
    <row r="253" spans="13:13">
      <c r="M253" s="32"/>
    </row>
    <row r="254" spans="13:13">
      <c r="M254" s="32"/>
    </row>
    <row r="255" spans="13:13">
      <c r="M255" s="32"/>
    </row>
    <row r="256" spans="13:13">
      <c r="M256" s="32"/>
    </row>
    <row r="257" spans="13:13">
      <c r="M257" s="32"/>
    </row>
    <row r="258" spans="13:13">
      <c r="M258" s="32"/>
    </row>
    <row r="259" spans="13:13">
      <c r="M259" s="32"/>
    </row>
    <row r="260" spans="13:13">
      <c r="M260" s="32"/>
    </row>
    <row r="261" spans="13:13">
      <c r="M261" s="32"/>
    </row>
    <row r="262" spans="13:13">
      <c r="M262" s="32"/>
    </row>
    <row r="263" spans="13:13">
      <c r="M263" s="32"/>
    </row>
    <row r="264" spans="13:13">
      <c r="M264" s="32"/>
    </row>
    <row r="265" spans="13:13">
      <c r="M265" s="32"/>
    </row>
    <row r="266" spans="13:13">
      <c r="M266" s="32"/>
    </row>
    <row r="267" spans="13:13">
      <c r="M267" s="32"/>
    </row>
    <row r="268" spans="13:13">
      <c r="M268" s="32"/>
    </row>
    <row r="269" spans="13:13">
      <c r="M269" s="32"/>
    </row>
    <row r="270" spans="13:13">
      <c r="M270" s="32"/>
    </row>
    <row r="271" spans="13:13">
      <c r="M271" s="32"/>
    </row>
    <row r="272" spans="13:13">
      <c r="M272" s="32"/>
    </row>
    <row r="273" spans="13:13">
      <c r="M273" s="32"/>
    </row>
    <row r="274" spans="13:13">
      <c r="M274" s="32"/>
    </row>
    <row r="275" spans="13:13">
      <c r="M275" s="32"/>
    </row>
    <row r="276" spans="13:13">
      <c r="M276" s="32"/>
    </row>
    <row r="277" spans="13:13">
      <c r="M277" s="32"/>
    </row>
    <row r="278" spans="13:13">
      <c r="M278" s="32"/>
    </row>
    <row r="279" spans="13:13">
      <c r="M279" s="32"/>
    </row>
    <row r="280" spans="13:13">
      <c r="M280" s="32"/>
    </row>
    <row r="281" spans="13:13">
      <c r="M281" s="32"/>
    </row>
    <row r="282" spans="13:13">
      <c r="M282" s="32"/>
    </row>
    <row r="283" spans="13:13">
      <c r="M283" s="32"/>
    </row>
    <row r="284" spans="13:13">
      <c r="M284" s="32"/>
    </row>
    <row r="285" spans="13:13">
      <c r="M285" s="32"/>
    </row>
    <row r="286" spans="13:13">
      <c r="M286" s="32"/>
    </row>
    <row r="287" spans="13:13">
      <c r="M287" s="32"/>
    </row>
    <row r="288" spans="13:13">
      <c r="M288" s="32"/>
    </row>
    <row r="289" spans="13:13">
      <c r="M289" s="32"/>
    </row>
    <row r="290" spans="13:13">
      <c r="M290" s="32"/>
    </row>
    <row r="291" spans="13:13">
      <c r="M291" s="32"/>
    </row>
    <row r="292" spans="13:13">
      <c r="M292" s="32"/>
    </row>
    <row r="293" spans="13:13">
      <c r="M293" s="32"/>
    </row>
    <row r="294" spans="13:13">
      <c r="M294" s="32"/>
    </row>
    <row r="295" spans="13:13">
      <c r="M295" s="32"/>
    </row>
    <row r="296" spans="13:13">
      <c r="M296" s="32"/>
    </row>
    <row r="297" spans="13:13">
      <c r="M297" s="32"/>
    </row>
    <row r="298" spans="13:13">
      <c r="M298" s="32"/>
    </row>
    <row r="299" spans="13:13">
      <c r="M299" s="32"/>
    </row>
    <row r="300" spans="13:13">
      <c r="M300" s="32"/>
    </row>
    <row r="301" spans="13:13">
      <c r="M301" s="32"/>
    </row>
    <row r="302" spans="13:13">
      <c r="M302" s="32"/>
    </row>
    <row r="303" spans="13:13">
      <c r="M303" s="32"/>
    </row>
    <row r="304" spans="13:13">
      <c r="M304" s="78"/>
    </row>
    <row r="305" spans="13:13">
      <c r="M305" s="32"/>
    </row>
    <row r="306" spans="13:13">
      <c r="M306" s="32"/>
    </row>
    <row r="307" spans="13:13">
      <c r="M307" s="32"/>
    </row>
    <row r="308" spans="13:13">
      <c r="M308" s="32"/>
    </row>
    <row r="309" spans="13:13">
      <c r="M309" s="32"/>
    </row>
    <row r="310" spans="13:13">
      <c r="M310" s="32"/>
    </row>
    <row r="311" spans="13:13">
      <c r="M311" s="32"/>
    </row>
    <row r="312" spans="13:13">
      <c r="M312" s="32"/>
    </row>
    <row r="313" spans="13:13">
      <c r="M313" s="32"/>
    </row>
    <row r="314" spans="13:13">
      <c r="M314" s="32"/>
    </row>
    <row r="315" spans="13:13">
      <c r="M315" s="32"/>
    </row>
    <row r="316" spans="13:13">
      <c r="M316" s="32"/>
    </row>
    <row r="317" spans="13:13">
      <c r="M317" s="32"/>
    </row>
    <row r="318" spans="13:13">
      <c r="M318" s="32"/>
    </row>
    <row r="319" spans="13:13">
      <c r="M319" s="32"/>
    </row>
    <row r="320" spans="13:13">
      <c r="M320" s="32"/>
    </row>
    <row r="321" spans="13:13">
      <c r="M321" s="32"/>
    </row>
    <row r="322" spans="13:13">
      <c r="M322" s="32"/>
    </row>
    <row r="323" spans="13:13">
      <c r="M323" s="32"/>
    </row>
    <row r="324" spans="13:13">
      <c r="M324" s="32"/>
    </row>
    <row r="325" spans="13:13">
      <c r="M325" s="32"/>
    </row>
    <row r="326" spans="13:13">
      <c r="M326" s="32"/>
    </row>
    <row r="327" spans="13:13">
      <c r="M327" s="32"/>
    </row>
    <row r="328" spans="13:13">
      <c r="M328" s="32"/>
    </row>
    <row r="329" spans="13:13">
      <c r="M329" s="32"/>
    </row>
    <row r="330" spans="13:13">
      <c r="M330" s="32"/>
    </row>
    <row r="331" spans="13:13">
      <c r="M331" s="32"/>
    </row>
    <row r="332" spans="13:13">
      <c r="M332" s="32"/>
    </row>
    <row r="333" spans="13:13">
      <c r="M333" s="32"/>
    </row>
    <row r="334" spans="13:13">
      <c r="M334" s="32"/>
    </row>
    <row r="335" spans="13:13">
      <c r="M335" s="32"/>
    </row>
    <row r="336" spans="13:13">
      <c r="M336" s="78"/>
    </row>
    <row r="337" spans="13:13">
      <c r="M337" s="32"/>
    </row>
    <row r="338" spans="13:13">
      <c r="M338" s="32"/>
    </row>
    <row r="339" spans="13:13">
      <c r="M339" s="32"/>
    </row>
    <row r="340" spans="13:13">
      <c r="M340" s="32"/>
    </row>
    <row r="341" spans="13:13">
      <c r="M341" s="32"/>
    </row>
    <row r="342" spans="13:13">
      <c r="M342" s="32"/>
    </row>
    <row r="343" spans="13:13">
      <c r="M343" s="32"/>
    </row>
    <row r="344" spans="13:13">
      <c r="M344" s="32"/>
    </row>
    <row r="345" spans="13:13">
      <c r="M345" s="32"/>
    </row>
    <row r="346" spans="13:13">
      <c r="M346" s="32"/>
    </row>
    <row r="347" spans="13:13">
      <c r="M347" s="32"/>
    </row>
    <row r="348" spans="13:13">
      <c r="M348" s="32"/>
    </row>
    <row r="349" spans="13:13">
      <c r="M349" s="32"/>
    </row>
    <row r="350" spans="13:13">
      <c r="M350" s="32"/>
    </row>
    <row r="351" spans="13:13">
      <c r="M351" s="32"/>
    </row>
    <row r="352" spans="13:13">
      <c r="M352" s="32"/>
    </row>
    <row r="353" spans="13:13">
      <c r="M353" s="32"/>
    </row>
    <row r="354" spans="13:13">
      <c r="M354" s="32"/>
    </row>
    <row r="355" spans="13:13">
      <c r="M355" s="32"/>
    </row>
    <row r="356" spans="13:13">
      <c r="M356" s="32"/>
    </row>
    <row r="357" spans="13:13">
      <c r="M357" s="32"/>
    </row>
    <row r="358" spans="13:13">
      <c r="M358" s="32"/>
    </row>
    <row r="359" spans="13:13">
      <c r="M359" s="32"/>
    </row>
    <row r="360" spans="13:13">
      <c r="M360" s="32"/>
    </row>
    <row r="361" spans="13:13">
      <c r="M361" s="32"/>
    </row>
    <row r="362" spans="13:13">
      <c r="M362" s="32"/>
    </row>
    <row r="363" spans="13:13">
      <c r="M363" s="32"/>
    </row>
    <row r="364" spans="13:13">
      <c r="M364" s="32"/>
    </row>
    <row r="365" spans="13:13">
      <c r="M365" s="32"/>
    </row>
    <row r="366" spans="13:13">
      <c r="M366" s="32"/>
    </row>
    <row r="367" spans="13:13">
      <c r="M367" s="32"/>
    </row>
    <row r="368" spans="13:13">
      <c r="M368" s="32"/>
    </row>
    <row r="369" spans="13:13">
      <c r="M369" s="32"/>
    </row>
    <row r="370" spans="13:13">
      <c r="M370" s="32"/>
    </row>
    <row r="371" spans="13:13">
      <c r="M371" s="32"/>
    </row>
    <row r="372" spans="13:13">
      <c r="M372" s="32"/>
    </row>
    <row r="373" spans="13:13">
      <c r="M373" s="32"/>
    </row>
    <row r="374" spans="13:13">
      <c r="M374" s="32"/>
    </row>
    <row r="375" spans="13:13">
      <c r="M375" s="32"/>
    </row>
    <row r="376" spans="13:13">
      <c r="M376" s="32"/>
    </row>
    <row r="377" spans="13:13">
      <c r="M377" s="32"/>
    </row>
    <row r="378" spans="13:13">
      <c r="M378" s="78"/>
    </row>
    <row r="379" spans="13:13">
      <c r="M379" s="32"/>
    </row>
    <row r="380" spans="13:13">
      <c r="M380" s="32"/>
    </row>
    <row r="381" spans="13:13">
      <c r="M381" s="32"/>
    </row>
    <row r="382" spans="13:13">
      <c r="M382" s="32"/>
    </row>
    <row r="383" spans="13:13">
      <c r="M383" s="32"/>
    </row>
    <row r="384" spans="13:13">
      <c r="M384" s="32"/>
    </row>
    <row r="385" spans="13:13">
      <c r="M385" s="32"/>
    </row>
    <row r="386" spans="13:13">
      <c r="M386" s="32"/>
    </row>
    <row r="387" spans="13:13">
      <c r="M387" s="32"/>
    </row>
    <row r="388" spans="13:13">
      <c r="M388" s="32"/>
    </row>
    <row r="389" spans="13:13">
      <c r="M389" s="32"/>
    </row>
    <row r="390" spans="13:13">
      <c r="M390" s="32"/>
    </row>
    <row r="391" spans="13:13">
      <c r="M391" s="32"/>
    </row>
    <row r="392" spans="13:13">
      <c r="M392" s="32"/>
    </row>
    <row r="393" spans="13:13">
      <c r="M393" s="32"/>
    </row>
    <row r="394" spans="13:13">
      <c r="M394" s="32"/>
    </row>
    <row r="395" spans="13:13">
      <c r="M395" s="32"/>
    </row>
    <row r="396" spans="13:13">
      <c r="M396" s="32"/>
    </row>
    <row r="397" spans="13:13">
      <c r="M397" s="32"/>
    </row>
    <row r="398" spans="13:13">
      <c r="M398" s="32"/>
    </row>
    <row r="399" spans="13:13">
      <c r="M399" s="32"/>
    </row>
    <row r="400" spans="13:13">
      <c r="M400" s="32"/>
    </row>
    <row r="401" spans="13:13">
      <c r="M401" s="32"/>
    </row>
    <row r="402" spans="13:13">
      <c r="M402" s="32"/>
    </row>
    <row r="403" spans="13:13">
      <c r="M403" s="32"/>
    </row>
    <row r="404" spans="13:13">
      <c r="M404" s="32"/>
    </row>
    <row r="405" spans="13:13">
      <c r="M405" s="32"/>
    </row>
    <row r="406" spans="13:13">
      <c r="M406" s="32"/>
    </row>
    <row r="407" spans="13:13">
      <c r="M407" s="32"/>
    </row>
    <row r="408" spans="13:13">
      <c r="M408" s="32"/>
    </row>
    <row r="409" spans="13:13">
      <c r="M409" s="32"/>
    </row>
    <row r="410" spans="13:13">
      <c r="M410" s="32"/>
    </row>
    <row r="411" spans="13:13">
      <c r="M411" s="32"/>
    </row>
    <row r="412" spans="13:13">
      <c r="M412" s="32"/>
    </row>
    <row r="413" spans="13:13">
      <c r="M413" s="32"/>
    </row>
    <row r="414" spans="13:13">
      <c r="M414" s="32"/>
    </row>
    <row r="415" spans="13:13">
      <c r="M415" s="32"/>
    </row>
    <row r="416" spans="13:13">
      <c r="M416" s="32"/>
    </row>
    <row r="417" spans="13:13">
      <c r="M417" s="32"/>
    </row>
    <row r="418" spans="13:13">
      <c r="M418" s="32"/>
    </row>
    <row r="419" spans="13:13">
      <c r="M419" s="32"/>
    </row>
    <row r="420" spans="13:13">
      <c r="M420" s="32"/>
    </row>
    <row r="421" spans="13:13">
      <c r="M421" s="32"/>
    </row>
    <row r="422" spans="13:13">
      <c r="M422" s="32"/>
    </row>
    <row r="423" spans="13:13">
      <c r="M423" s="32"/>
    </row>
    <row r="424" spans="13:13">
      <c r="M424" s="32"/>
    </row>
    <row r="425" spans="13:13">
      <c r="M425" s="32"/>
    </row>
    <row r="426" spans="13:13">
      <c r="M426" s="32"/>
    </row>
    <row r="427" spans="13:13">
      <c r="M427" s="32"/>
    </row>
    <row r="428" spans="13:13">
      <c r="M428" s="32"/>
    </row>
    <row r="429" spans="13:13">
      <c r="M429" s="32"/>
    </row>
    <row r="430" spans="13:13">
      <c r="M430" s="32"/>
    </row>
    <row r="431" spans="13:13">
      <c r="M431" s="32"/>
    </row>
    <row r="432" spans="13:13">
      <c r="M432" s="32"/>
    </row>
    <row r="433" spans="13:13">
      <c r="M433" s="32"/>
    </row>
    <row r="434" spans="13:13">
      <c r="M434" s="32"/>
    </row>
    <row r="435" spans="13:13">
      <c r="M435" s="32"/>
    </row>
    <row r="436" spans="13:13">
      <c r="M436" s="32"/>
    </row>
    <row r="437" spans="13:13">
      <c r="M437" s="32"/>
    </row>
    <row r="438" spans="13:13">
      <c r="M438" s="32"/>
    </row>
    <row r="439" spans="13:13">
      <c r="M439" s="32"/>
    </row>
    <row r="440" spans="13:13">
      <c r="M440" s="32"/>
    </row>
    <row r="441" spans="13:13">
      <c r="M441" s="32"/>
    </row>
    <row r="442" spans="13:13">
      <c r="M442" s="32"/>
    </row>
    <row r="443" spans="13:13">
      <c r="M443" s="32"/>
    </row>
    <row r="444" spans="13:13">
      <c r="M444" s="32"/>
    </row>
    <row r="445" spans="13:13">
      <c r="M445" s="32"/>
    </row>
    <row r="446" spans="13:13">
      <c r="M446" s="32"/>
    </row>
    <row r="447" spans="13:13">
      <c r="M447" s="32"/>
    </row>
    <row r="448" spans="13:13">
      <c r="M448" s="32"/>
    </row>
    <row r="449" spans="13:13">
      <c r="M449" s="32"/>
    </row>
    <row r="450" spans="13:13">
      <c r="M450" s="32"/>
    </row>
    <row r="451" spans="13:13">
      <c r="M451" s="32"/>
    </row>
    <row r="452" spans="13:13">
      <c r="M452" s="32"/>
    </row>
    <row r="453" spans="13:13">
      <c r="M453" s="32"/>
    </row>
    <row r="454" spans="13:13">
      <c r="M454" s="32"/>
    </row>
    <row r="455" spans="13:13">
      <c r="M455" s="78"/>
    </row>
    <row r="456" spans="13:13">
      <c r="M456" s="32"/>
    </row>
    <row r="457" spans="13:13">
      <c r="M457" s="32"/>
    </row>
    <row r="458" spans="13:13">
      <c r="M458" s="32"/>
    </row>
    <row r="459" spans="13:13">
      <c r="M459" s="32"/>
    </row>
    <row r="460" spans="13:13">
      <c r="M460" s="32"/>
    </row>
    <row r="461" spans="13:13">
      <c r="M461" s="32"/>
    </row>
    <row r="462" spans="13:13">
      <c r="M462" s="32"/>
    </row>
    <row r="463" spans="13:13">
      <c r="M463" s="32"/>
    </row>
    <row r="464" spans="13:13">
      <c r="M464" s="32"/>
    </row>
    <row r="465" spans="13:13">
      <c r="M465" s="32"/>
    </row>
    <row r="466" spans="13:13">
      <c r="M466" s="32"/>
    </row>
    <row r="467" spans="13:13">
      <c r="M467" s="32"/>
    </row>
    <row r="468" spans="13:13">
      <c r="M468" s="32"/>
    </row>
    <row r="469" spans="13:13">
      <c r="M469" s="32"/>
    </row>
    <row r="470" spans="13:13">
      <c r="M470" s="32"/>
    </row>
    <row r="471" spans="13:13">
      <c r="M471" s="32"/>
    </row>
    <row r="472" spans="13:13">
      <c r="M472" s="32"/>
    </row>
    <row r="473" spans="13:13">
      <c r="M473" s="32"/>
    </row>
    <row r="474" spans="13:13">
      <c r="M474" s="32"/>
    </row>
    <row r="475" spans="13:13">
      <c r="M475" s="32"/>
    </row>
    <row r="476" spans="13:13">
      <c r="M476" s="32"/>
    </row>
    <row r="477" spans="13:13">
      <c r="M477" s="32"/>
    </row>
    <row r="478" spans="13:13">
      <c r="M478" s="32"/>
    </row>
    <row r="479" spans="13:13">
      <c r="M479" s="32"/>
    </row>
    <row r="480" spans="13:13">
      <c r="M480" s="32"/>
    </row>
    <row r="481" spans="13:13">
      <c r="M481" s="32"/>
    </row>
    <row r="482" spans="13:13">
      <c r="M482" s="32"/>
    </row>
    <row r="483" spans="13:13">
      <c r="M483" s="32"/>
    </row>
    <row r="484" spans="13:13">
      <c r="M484" s="32"/>
    </row>
    <row r="485" spans="13:13">
      <c r="M485" s="32"/>
    </row>
    <row r="486" spans="13:13">
      <c r="M486" s="32"/>
    </row>
    <row r="487" spans="13:13">
      <c r="M487" s="32"/>
    </row>
    <row r="488" spans="13:13">
      <c r="M488" s="32"/>
    </row>
    <row r="489" spans="13:13">
      <c r="M489" s="32"/>
    </row>
    <row r="490" spans="13:13">
      <c r="M490" s="32"/>
    </row>
    <row r="491" spans="13:13">
      <c r="M491" s="32"/>
    </row>
    <row r="492" spans="13:13">
      <c r="M492" s="32"/>
    </row>
    <row r="493" spans="13:13">
      <c r="M493" s="32"/>
    </row>
    <row r="494" spans="13:13">
      <c r="M494" s="32"/>
    </row>
    <row r="495" spans="13:13">
      <c r="M495" s="32"/>
    </row>
    <row r="496" spans="13:13">
      <c r="M496" s="32"/>
    </row>
    <row r="497" spans="13:13">
      <c r="M497" s="32"/>
    </row>
    <row r="498" spans="13:13">
      <c r="M498" s="32"/>
    </row>
    <row r="499" spans="13:13">
      <c r="M499" s="32"/>
    </row>
    <row r="500" spans="13:13">
      <c r="M500" s="32"/>
    </row>
    <row r="501" spans="13:13">
      <c r="M501" s="32"/>
    </row>
    <row r="502" spans="13:13">
      <c r="M502" s="32"/>
    </row>
    <row r="503" spans="13:13">
      <c r="M503" s="32"/>
    </row>
    <row r="504" spans="13:13">
      <c r="M504" s="32"/>
    </row>
    <row r="505" spans="13:13">
      <c r="M505" s="32"/>
    </row>
    <row r="506" spans="13:13">
      <c r="M506" s="32"/>
    </row>
    <row r="507" spans="13:13">
      <c r="M507" s="32"/>
    </row>
    <row r="508" spans="13:13">
      <c r="M508" s="32"/>
    </row>
    <row r="509" spans="13:13">
      <c r="M509" s="32"/>
    </row>
    <row r="510" spans="13:13">
      <c r="M510" s="32"/>
    </row>
    <row r="511" spans="13:13">
      <c r="M511" s="32"/>
    </row>
    <row r="512" spans="13:13">
      <c r="M512" s="32"/>
    </row>
    <row r="513" spans="13:13">
      <c r="M513" s="32"/>
    </row>
    <row r="514" spans="13:13">
      <c r="M514" s="32"/>
    </row>
    <row r="515" spans="13:13">
      <c r="M515" s="32"/>
    </row>
    <row r="516" spans="13:13">
      <c r="M516" s="32"/>
    </row>
    <row r="517" spans="13:13">
      <c r="M517" s="32"/>
    </row>
    <row r="518" spans="13:13">
      <c r="M518" s="32"/>
    </row>
    <row r="519" spans="13:13">
      <c r="M519" s="32"/>
    </row>
    <row r="520" spans="13:13">
      <c r="M520" s="32"/>
    </row>
    <row r="521" spans="13:13">
      <c r="M521" s="32"/>
    </row>
    <row r="522" spans="13:13">
      <c r="M522" s="32"/>
    </row>
    <row r="523" spans="13:13">
      <c r="M523" s="78"/>
    </row>
    <row r="524" spans="13:13">
      <c r="M524" s="32"/>
    </row>
    <row r="525" spans="13:13">
      <c r="M525" s="32"/>
    </row>
    <row r="526" spans="13:13">
      <c r="M526" s="32"/>
    </row>
    <row r="527" spans="13:13">
      <c r="M527" s="32"/>
    </row>
    <row r="528" spans="13:13">
      <c r="M528" s="32"/>
    </row>
    <row r="529" spans="13:13">
      <c r="M529" s="32"/>
    </row>
    <row r="530" spans="13:13">
      <c r="M530" s="32"/>
    </row>
    <row r="531" spans="13:13">
      <c r="M531" s="32"/>
    </row>
    <row r="532" spans="13:13">
      <c r="M532" s="32"/>
    </row>
    <row r="533" spans="13:13">
      <c r="M533" s="32"/>
    </row>
    <row r="534" spans="13:13">
      <c r="M534" s="32"/>
    </row>
    <row r="535" spans="13:13">
      <c r="M535" s="32"/>
    </row>
    <row r="536" spans="13:13">
      <c r="M536" s="32"/>
    </row>
    <row r="537" spans="13:13">
      <c r="M537" s="32"/>
    </row>
    <row r="538" spans="13:13">
      <c r="M538" s="32"/>
    </row>
    <row r="539" spans="13:13">
      <c r="M539" s="32"/>
    </row>
    <row r="540" spans="13:13">
      <c r="M540" s="32"/>
    </row>
    <row r="541" spans="13:13">
      <c r="M541" s="32"/>
    </row>
    <row r="542" spans="13:13">
      <c r="M542" s="32"/>
    </row>
    <row r="543" spans="13:13">
      <c r="M543" s="32"/>
    </row>
    <row r="544" spans="13:13">
      <c r="M544" s="32"/>
    </row>
    <row r="545" spans="13:13">
      <c r="M545" s="32"/>
    </row>
    <row r="546" spans="13:13">
      <c r="M546" s="32"/>
    </row>
    <row r="547" spans="13:13">
      <c r="M547" s="32"/>
    </row>
    <row r="548" spans="13:13">
      <c r="M548" s="32"/>
    </row>
    <row r="549" spans="13:13">
      <c r="M549" s="32"/>
    </row>
    <row r="550" spans="13:13">
      <c r="M550" s="32"/>
    </row>
    <row r="551" spans="13:13">
      <c r="M551" s="32"/>
    </row>
    <row r="552" spans="13:13">
      <c r="M552" s="32"/>
    </row>
    <row r="553" spans="13:13">
      <c r="M553" s="32"/>
    </row>
    <row r="554" spans="13:13">
      <c r="M554" s="32"/>
    </row>
    <row r="555" spans="13:13">
      <c r="M555" s="32"/>
    </row>
    <row r="556" spans="13:13">
      <c r="M556" s="32"/>
    </row>
    <row r="557" spans="13:13">
      <c r="M557" s="32"/>
    </row>
    <row r="558" spans="13:13">
      <c r="M558" s="32"/>
    </row>
    <row r="559" spans="13:13">
      <c r="M559" s="32"/>
    </row>
    <row r="560" spans="13:13">
      <c r="M560" s="32"/>
    </row>
    <row r="561" spans="13:13">
      <c r="M561" s="32"/>
    </row>
    <row r="562" spans="13:13">
      <c r="M562" s="32"/>
    </row>
    <row r="563" spans="13:13">
      <c r="M563" s="32"/>
    </row>
    <row r="564" spans="13:13">
      <c r="M564" s="32"/>
    </row>
    <row r="565" spans="13:13">
      <c r="M565" s="32"/>
    </row>
    <row r="566" spans="13:13">
      <c r="M566" s="32"/>
    </row>
    <row r="567" spans="13:13">
      <c r="M567" s="32"/>
    </row>
    <row r="568" spans="13:13">
      <c r="M568" s="32"/>
    </row>
    <row r="569" spans="13:13">
      <c r="M569" s="32"/>
    </row>
    <row r="570" spans="13:13">
      <c r="M570" s="32"/>
    </row>
    <row r="571" spans="13:13">
      <c r="M571" s="32"/>
    </row>
    <row r="572" spans="13:13">
      <c r="M572" s="32"/>
    </row>
    <row r="573" spans="13:13">
      <c r="M573" s="32"/>
    </row>
    <row r="574" spans="13:13">
      <c r="M574" s="32"/>
    </row>
    <row r="575" spans="13:13">
      <c r="M575" s="32"/>
    </row>
    <row r="576" spans="13:13">
      <c r="M576" s="32"/>
    </row>
    <row r="577" spans="13:13">
      <c r="M577" s="32"/>
    </row>
    <row r="578" spans="13:13">
      <c r="M578" s="32"/>
    </row>
    <row r="579" spans="13:13">
      <c r="M579" s="32"/>
    </row>
    <row r="580" spans="13:13">
      <c r="M580" s="32"/>
    </row>
    <row r="581" spans="13:13">
      <c r="M581" s="32"/>
    </row>
    <row r="582" spans="13:13">
      <c r="M582" s="32"/>
    </row>
    <row r="583" spans="13:13">
      <c r="M583" s="32"/>
    </row>
    <row r="584" spans="13:13">
      <c r="M584" s="32"/>
    </row>
    <row r="585" spans="13:13">
      <c r="M585" s="32"/>
    </row>
    <row r="586" spans="13:13">
      <c r="M586" s="32"/>
    </row>
    <row r="587" spans="13:13">
      <c r="M587" s="32"/>
    </row>
    <row r="588" spans="13:13">
      <c r="M588" s="32"/>
    </row>
    <row r="589" spans="13:13">
      <c r="M589" s="32"/>
    </row>
    <row r="590" spans="13:13">
      <c r="M590" s="32"/>
    </row>
    <row r="591" spans="13:13">
      <c r="M591" s="32"/>
    </row>
    <row r="592" spans="13:13">
      <c r="M592" s="32"/>
    </row>
    <row r="593" spans="13:13">
      <c r="M593" s="32"/>
    </row>
    <row r="594" spans="13:13">
      <c r="M594" s="32"/>
    </row>
    <row r="595" spans="13:13">
      <c r="M595" s="78"/>
    </row>
    <row r="596" spans="13:13">
      <c r="M596" s="32"/>
    </row>
    <row r="597" spans="13:13">
      <c r="M597" s="32"/>
    </row>
    <row r="598" spans="13:13">
      <c r="M598" s="32"/>
    </row>
    <row r="599" spans="13:13">
      <c r="M599" s="32"/>
    </row>
    <row r="600" spans="13:13">
      <c r="M600" s="32"/>
    </row>
    <row r="601" spans="13:13">
      <c r="M601" s="32"/>
    </row>
    <row r="602" spans="13:13">
      <c r="M602" s="32"/>
    </row>
    <row r="603" spans="13:13">
      <c r="M603" s="32"/>
    </row>
    <row r="604" spans="13:13">
      <c r="M604" s="32"/>
    </row>
    <row r="605" spans="13:13">
      <c r="M605" s="32"/>
    </row>
    <row r="606" spans="13:13">
      <c r="M606" s="32"/>
    </row>
    <row r="607" spans="13:13">
      <c r="M607" s="32"/>
    </row>
    <row r="608" spans="13:13">
      <c r="M608" s="32"/>
    </row>
    <row r="609" spans="13:13">
      <c r="M609" s="32"/>
    </row>
    <row r="610" spans="13:13">
      <c r="M610" s="32"/>
    </row>
    <row r="611" spans="13:13">
      <c r="M611" s="32"/>
    </row>
    <row r="612" spans="13:13">
      <c r="M612" s="32"/>
    </row>
    <row r="613" spans="13:13">
      <c r="M613" s="32"/>
    </row>
    <row r="614" spans="13:13">
      <c r="M614" s="32"/>
    </row>
    <row r="615" spans="13:13">
      <c r="M615" s="32"/>
    </row>
    <row r="616" spans="13:13">
      <c r="M616" s="32"/>
    </row>
    <row r="617" spans="13:13">
      <c r="M617" s="32"/>
    </row>
    <row r="618" spans="13:13">
      <c r="M618" s="32"/>
    </row>
    <row r="619" spans="13:13">
      <c r="M619" s="32"/>
    </row>
    <row r="620" spans="13:13">
      <c r="M620" s="32"/>
    </row>
    <row r="621" spans="13:13">
      <c r="M621" s="32"/>
    </row>
    <row r="622" spans="13:13">
      <c r="M622" s="33"/>
    </row>
    <row r="623" spans="13:13">
      <c r="M623" s="32"/>
    </row>
    <row r="624" spans="13:13">
      <c r="M624" s="32"/>
    </row>
    <row r="625" spans="13:13">
      <c r="M625" s="32"/>
    </row>
    <row r="626" spans="13:13">
      <c r="M626" s="32"/>
    </row>
    <row r="627" spans="13:13">
      <c r="M627" s="32"/>
    </row>
    <row r="628" spans="13:13">
      <c r="M628" s="32"/>
    </row>
    <row r="629" spans="13:13">
      <c r="M629" s="32"/>
    </row>
    <row r="630" spans="13:13">
      <c r="M630" s="32"/>
    </row>
    <row r="631" spans="13:13">
      <c r="M631" s="32"/>
    </row>
    <row r="632" spans="13:13">
      <c r="M632" s="32"/>
    </row>
    <row r="633" spans="13:13">
      <c r="M633" s="32"/>
    </row>
    <row r="634" spans="13:13">
      <c r="M634" s="32"/>
    </row>
    <row r="635" spans="13:13">
      <c r="M635" s="32"/>
    </row>
    <row r="636" spans="13:13">
      <c r="M636" s="32"/>
    </row>
    <row r="637" spans="13:13">
      <c r="M637" s="32"/>
    </row>
    <row r="638" spans="13:13">
      <c r="M638" s="32"/>
    </row>
    <row r="639" spans="13:13">
      <c r="M639" s="32"/>
    </row>
    <row r="640" spans="13:13">
      <c r="M640" s="32"/>
    </row>
    <row r="641" spans="13:13">
      <c r="M641" s="32"/>
    </row>
    <row r="642" spans="13:13">
      <c r="M642" s="32"/>
    </row>
    <row r="643" spans="13:13">
      <c r="M643" s="32"/>
    </row>
    <row r="644" spans="13:13">
      <c r="M644" s="32"/>
    </row>
    <row r="645" spans="13:13">
      <c r="M645" s="32"/>
    </row>
    <row r="646" spans="13:13">
      <c r="M646" s="32"/>
    </row>
    <row r="647" spans="13:13">
      <c r="M647" s="32"/>
    </row>
    <row r="648" spans="13:13">
      <c r="M648" s="32"/>
    </row>
    <row r="649" spans="13:13">
      <c r="M649" s="32"/>
    </row>
    <row r="650" spans="13:13">
      <c r="M650" s="32"/>
    </row>
    <row r="651" spans="13:13">
      <c r="M651" s="32"/>
    </row>
    <row r="652" spans="13:13">
      <c r="M652" s="32"/>
    </row>
    <row r="653" spans="13:13">
      <c r="M653" s="32"/>
    </row>
    <row r="654" spans="13:13">
      <c r="M654" s="32"/>
    </row>
    <row r="655" spans="13:13">
      <c r="M655" s="32"/>
    </row>
    <row r="656" spans="13:13">
      <c r="M656" s="32"/>
    </row>
    <row r="657" spans="13:13">
      <c r="M657" s="32"/>
    </row>
    <row r="658" spans="13:13">
      <c r="M658" s="32"/>
    </row>
    <row r="659" spans="13:13">
      <c r="M659" s="32"/>
    </row>
    <row r="660" spans="13:13">
      <c r="M660" s="32"/>
    </row>
    <row r="661" spans="13:13">
      <c r="M661" s="32"/>
    </row>
    <row r="662" spans="13:13">
      <c r="M662" s="32"/>
    </row>
    <row r="663" spans="13:13">
      <c r="M663" s="32"/>
    </row>
    <row r="664" spans="13:13">
      <c r="M664" s="32"/>
    </row>
    <row r="665" spans="13:13">
      <c r="M665" s="32"/>
    </row>
    <row r="666" spans="13:13">
      <c r="M666" s="32"/>
    </row>
    <row r="667" spans="13:13">
      <c r="M667" s="32"/>
    </row>
    <row r="668" spans="13:13">
      <c r="M668" s="32"/>
    </row>
    <row r="669" spans="13:13">
      <c r="M669" s="32"/>
    </row>
    <row r="670" spans="13:13">
      <c r="M670" s="32"/>
    </row>
    <row r="671" spans="13:13">
      <c r="M671" s="32"/>
    </row>
    <row r="672" spans="13:13">
      <c r="M672" s="32"/>
    </row>
    <row r="673" spans="13:13">
      <c r="M673" s="32"/>
    </row>
    <row r="674" spans="13:13">
      <c r="M674" s="32"/>
    </row>
    <row r="675" spans="13:13">
      <c r="M675" s="32"/>
    </row>
    <row r="676" spans="13:13">
      <c r="M676" s="32"/>
    </row>
    <row r="677" spans="13:13">
      <c r="M677" s="32"/>
    </row>
    <row r="678" spans="13:13">
      <c r="M678" s="32"/>
    </row>
    <row r="679" spans="13:13">
      <c r="M679" s="32"/>
    </row>
    <row r="680" spans="13:13">
      <c r="M680" s="32"/>
    </row>
    <row r="681" spans="13:13">
      <c r="M681" s="32"/>
    </row>
    <row r="682" spans="13:13">
      <c r="M682" s="32"/>
    </row>
    <row r="683" spans="13:13">
      <c r="M683" s="32"/>
    </row>
    <row r="684" spans="13:13">
      <c r="M684" s="32"/>
    </row>
    <row r="685" spans="13:13">
      <c r="M685" s="32"/>
    </row>
    <row r="686" spans="13:13">
      <c r="M686" s="32"/>
    </row>
    <row r="687" spans="13:13">
      <c r="M687" s="32"/>
    </row>
    <row r="688" spans="13:13">
      <c r="M688" s="32"/>
    </row>
    <row r="689" spans="13:13">
      <c r="M689" s="32"/>
    </row>
    <row r="690" spans="13:13">
      <c r="M690" s="32"/>
    </row>
    <row r="691" spans="13:13">
      <c r="M691" s="32"/>
    </row>
    <row r="692" spans="13:13">
      <c r="M692" s="32"/>
    </row>
    <row r="693" spans="13:13">
      <c r="M693" s="32"/>
    </row>
    <row r="694" spans="13:13">
      <c r="M694" s="32"/>
    </row>
    <row r="695" spans="13:13">
      <c r="M695" s="32"/>
    </row>
    <row r="696" spans="13:13">
      <c r="M696" s="32"/>
    </row>
    <row r="697" spans="13:13">
      <c r="M697" s="32"/>
    </row>
    <row r="698" spans="13:13">
      <c r="M698" s="32"/>
    </row>
    <row r="699" spans="13:13">
      <c r="M699" s="32"/>
    </row>
    <row r="700" spans="13:13">
      <c r="M700" s="32"/>
    </row>
    <row r="701" spans="13:13">
      <c r="M701" s="32"/>
    </row>
    <row r="702" spans="13:13">
      <c r="M702" s="32"/>
    </row>
    <row r="703" spans="13:13">
      <c r="M703" s="32"/>
    </row>
    <row r="704" spans="13:13">
      <c r="M704" s="32"/>
    </row>
    <row r="705" spans="13:13">
      <c r="M705" s="32"/>
    </row>
    <row r="706" spans="13:13">
      <c r="M706" s="32"/>
    </row>
    <row r="707" spans="13:13">
      <c r="M707" s="32"/>
    </row>
    <row r="708" spans="13:13">
      <c r="M708" s="32"/>
    </row>
    <row r="709" spans="13:13">
      <c r="M709" s="32"/>
    </row>
    <row r="710" spans="13:13">
      <c r="M710" s="32"/>
    </row>
    <row r="711" spans="13:13">
      <c r="M711" s="32"/>
    </row>
    <row r="712" spans="13:13">
      <c r="M712" s="32"/>
    </row>
    <row r="713" spans="13:13">
      <c r="M713" s="32"/>
    </row>
    <row r="714" spans="13:13">
      <c r="M714" s="32"/>
    </row>
    <row r="715" spans="13:13">
      <c r="M715" s="32"/>
    </row>
    <row r="716" spans="13:13">
      <c r="M716" s="32"/>
    </row>
    <row r="717" spans="13:13">
      <c r="M717" s="32"/>
    </row>
    <row r="718" spans="13:13">
      <c r="M718" s="32"/>
    </row>
    <row r="719" spans="13:13">
      <c r="M719" s="32"/>
    </row>
    <row r="720" spans="13:13">
      <c r="M720" s="32"/>
    </row>
    <row r="721" spans="13:13">
      <c r="M721" s="32"/>
    </row>
    <row r="722" spans="13:13">
      <c r="M722" s="32"/>
    </row>
    <row r="723" spans="13:13">
      <c r="M723" s="32"/>
    </row>
    <row r="724" spans="13:13">
      <c r="M724" s="32"/>
    </row>
    <row r="725" spans="13:13">
      <c r="M725" s="32"/>
    </row>
    <row r="726" spans="13:13">
      <c r="M726" s="32"/>
    </row>
    <row r="727" spans="13:13">
      <c r="M727" s="32"/>
    </row>
    <row r="728" spans="13:13">
      <c r="M728" s="32"/>
    </row>
    <row r="729" spans="13:13">
      <c r="M729" s="32"/>
    </row>
    <row r="730" spans="13:13">
      <c r="M730" s="32"/>
    </row>
    <row r="731" spans="13:13">
      <c r="M731" s="32"/>
    </row>
    <row r="732" spans="13:13">
      <c r="M732" s="32"/>
    </row>
    <row r="733" spans="13:13">
      <c r="M733" s="32"/>
    </row>
    <row r="734" spans="13:13">
      <c r="M734" s="32"/>
    </row>
    <row r="735" spans="13:13">
      <c r="M735" s="32"/>
    </row>
    <row r="736" spans="13:13">
      <c r="M736" s="32"/>
    </row>
    <row r="737" spans="13:13">
      <c r="M737" s="32"/>
    </row>
    <row r="738" spans="13:13">
      <c r="M738" s="32"/>
    </row>
    <row r="739" spans="13:13">
      <c r="M739" s="32"/>
    </row>
    <row r="740" spans="13:13">
      <c r="M740" s="32"/>
    </row>
    <row r="741" spans="13:13">
      <c r="M741" s="32"/>
    </row>
    <row r="742" spans="13:13">
      <c r="M742" s="32"/>
    </row>
    <row r="743" spans="13:13">
      <c r="M743" s="32"/>
    </row>
    <row r="744" spans="13:13">
      <c r="M744" s="32"/>
    </row>
    <row r="745" spans="13:13">
      <c r="M745" s="32"/>
    </row>
    <row r="746" spans="13:13">
      <c r="M746" s="32"/>
    </row>
    <row r="747" spans="13:13">
      <c r="M747" s="32"/>
    </row>
    <row r="748" spans="13:13">
      <c r="M748" s="32"/>
    </row>
    <row r="749" spans="13:13">
      <c r="M749" s="32"/>
    </row>
    <row r="750" spans="13:13">
      <c r="M750" s="32"/>
    </row>
    <row r="751" spans="13:13">
      <c r="M751" s="32"/>
    </row>
    <row r="752" spans="13:13">
      <c r="M752" s="32"/>
    </row>
    <row r="753" spans="13:13">
      <c r="M753" s="32"/>
    </row>
    <row r="754" spans="13:13">
      <c r="M754" s="32"/>
    </row>
    <row r="755" spans="13:13">
      <c r="M755" s="32"/>
    </row>
    <row r="756" spans="13:13">
      <c r="M756" s="32"/>
    </row>
    <row r="757" spans="13:13">
      <c r="M757" s="32"/>
    </row>
    <row r="758" spans="13:13">
      <c r="M758" s="32"/>
    </row>
    <row r="759" spans="13:13">
      <c r="M759" s="32"/>
    </row>
    <row r="760" spans="13:13">
      <c r="M760" s="32"/>
    </row>
    <row r="761" spans="13:13">
      <c r="M761" s="32"/>
    </row>
    <row r="762" spans="13:13">
      <c r="M762" s="32"/>
    </row>
    <row r="763" spans="13:13">
      <c r="M763" s="32"/>
    </row>
    <row r="764" spans="13:13">
      <c r="M764" s="32"/>
    </row>
    <row r="765" spans="13:13">
      <c r="M765" s="32"/>
    </row>
    <row r="766" spans="13:13">
      <c r="M766" s="32"/>
    </row>
    <row r="767" spans="13:13">
      <c r="M767" s="32"/>
    </row>
    <row r="768" spans="13:13">
      <c r="M768" s="32"/>
    </row>
    <row r="769" spans="13:13">
      <c r="M769" s="32"/>
    </row>
    <row r="770" spans="13:13">
      <c r="M770" s="32"/>
    </row>
    <row r="771" spans="13:13">
      <c r="M771" s="32"/>
    </row>
    <row r="772" spans="13:13">
      <c r="M772" s="32"/>
    </row>
    <row r="773" spans="13:13">
      <c r="M773" s="32"/>
    </row>
    <row r="774" spans="13:13">
      <c r="M774" s="32"/>
    </row>
    <row r="775" spans="13:13">
      <c r="M775" s="32"/>
    </row>
    <row r="776" spans="13:13">
      <c r="M776" s="32"/>
    </row>
    <row r="777" spans="13:13">
      <c r="M777" s="32"/>
    </row>
    <row r="778" spans="13:13">
      <c r="M778" s="32"/>
    </row>
    <row r="779" spans="13:13">
      <c r="M779" s="32"/>
    </row>
    <row r="780" spans="13:13">
      <c r="M780" s="32"/>
    </row>
    <row r="781" spans="13:13">
      <c r="M781" s="32"/>
    </row>
    <row r="782" spans="13:13">
      <c r="M782" s="32"/>
    </row>
    <row r="783" spans="13:13">
      <c r="M783" s="32"/>
    </row>
    <row r="784" spans="13:13">
      <c r="M784" s="32"/>
    </row>
    <row r="785" spans="13:13">
      <c r="M785" s="32"/>
    </row>
    <row r="786" spans="13:13">
      <c r="M786" s="32"/>
    </row>
    <row r="787" spans="13:13">
      <c r="M787" s="32"/>
    </row>
    <row r="788" spans="13:13">
      <c r="M788" s="32"/>
    </row>
    <row r="789" spans="13:13">
      <c r="M789" s="32"/>
    </row>
    <row r="790" spans="13:13">
      <c r="M790" s="32"/>
    </row>
    <row r="791" spans="13:13">
      <c r="M791" s="32"/>
    </row>
    <row r="792" spans="13:13">
      <c r="M792" s="32"/>
    </row>
    <row r="793" spans="13:13">
      <c r="M793" s="32"/>
    </row>
    <row r="794" spans="13:13">
      <c r="M794" s="32"/>
    </row>
    <row r="795" spans="13:13">
      <c r="M795" s="32"/>
    </row>
    <row r="796" spans="13:13">
      <c r="M796" s="32"/>
    </row>
    <row r="797" spans="13:13">
      <c r="M797" s="32"/>
    </row>
    <row r="798" spans="13:13">
      <c r="M798" s="32"/>
    </row>
    <row r="799" spans="13:13">
      <c r="M799" s="32"/>
    </row>
    <row r="800" spans="13:13">
      <c r="M800" s="32"/>
    </row>
    <row r="801" spans="13:13">
      <c r="M801" s="32"/>
    </row>
    <row r="802" spans="13:13">
      <c r="M802" s="32"/>
    </row>
    <row r="803" spans="13:13">
      <c r="M803" s="32"/>
    </row>
    <row r="804" spans="13:13">
      <c r="M804" s="32"/>
    </row>
    <row r="805" spans="13:13">
      <c r="M805" s="32"/>
    </row>
    <row r="806" spans="13:13">
      <c r="M806" s="32"/>
    </row>
    <row r="807" spans="13:13">
      <c r="M807" s="32"/>
    </row>
    <row r="808" spans="13:13">
      <c r="M808" s="32"/>
    </row>
    <row r="809" spans="13:13">
      <c r="M809" s="32"/>
    </row>
    <row r="810" spans="13:13">
      <c r="M810" s="32"/>
    </row>
    <row r="811" spans="13:13">
      <c r="M811" s="32"/>
    </row>
    <row r="812" spans="13:13">
      <c r="M812" s="32"/>
    </row>
    <row r="813" spans="13:13">
      <c r="M813" s="32"/>
    </row>
    <row r="814" spans="13:13">
      <c r="M814" s="32"/>
    </row>
    <row r="815" spans="13:13">
      <c r="M815" s="32"/>
    </row>
    <row r="816" spans="13:13">
      <c r="M816" s="32"/>
    </row>
    <row r="817" spans="13:13">
      <c r="M817" s="32"/>
    </row>
    <row r="818" spans="13:13">
      <c r="M818" s="32"/>
    </row>
    <row r="819" spans="13:13">
      <c r="M819" s="32"/>
    </row>
    <row r="820" spans="13:13">
      <c r="M820" s="32"/>
    </row>
    <row r="821" spans="13:13">
      <c r="M821" s="32"/>
    </row>
    <row r="822" spans="13:13">
      <c r="M822" s="32"/>
    </row>
    <row r="823" spans="13:13">
      <c r="M823" s="32"/>
    </row>
    <row r="824" spans="13:13">
      <c r="M824" s="32"/>
    </row>
    <row r="825" spans="13:13">
      <c r="M825" s="32"/>
    </row>
    <row r="826" spans="13:13">
      <c r="M826" s="32"/>
    </row>
    <row r="827" spans="13:13">
      <c r="M827" s="32"/>
    </row>
    <row r="828" spans="13:13">
      <c r="M828" s="32"/>
    </row>
    <row r="829" spans="13:13">
      <c r="M829" s="32"/>
    </row>
    <row r="830" spans="13:13">
      <c r="M830" s="32"/>
    </row>
    <row r="831" spans="13:13">
      <c r="M831" s="32"/>
    </row>
    <row r="832" spans="13:13">
      <c r="M832" s="32"/>
    </row>
    <row r="833" spans="13:13">
      <c r="M833" s="32"/>
    </row>
    <row r="834" spans="13:13">
      <c r="M834" s="32"/>
    </row>
    <row r="835" spans="13:13">
      <c r="M835" s="32"/>
    </row>
    <row r="836" spans="13:13">
      <c r="M836" s="32"/>
    </row>
    <row r="837" spans="13:13">
      <c r="M837" s="32"/>
    </row>
    <row r="838" spans="13:13">
      <c r="M838" s="32"/>
    </row>
    <row r="839" spans="13:13">
      <c r="M839" s="32"/>
    </row>
    <row r="840" spans="13:13">
      <c r="M840" s="32"/>
    </row>
    <row r="841" spans="13:13">
      <c r="M841" s="32"/>
    </row>
    <row r="842" spans="13:13">
      <c r="M842" s="32"/>
    </row>
    <row r="843" spans="13:13">
      <c r="M843" s="32"/>
    </row>
    <row r="844" spans="13:13">
      <c r="M844" s="32"/>
    </row>
    <row r="845" spans="13:13">
      <c r="M845" s="32"/>
    </row>
    <row r="846" spans="13:13">
      <c r="M846" s="32"/>
    </row>
    <row r="847" spans="13:13">
      <c r="M847" s="32"/>
    </row>
    <row r="848" spans="13:13">
      <c r="M848" s="32"/>
    </row>
    <row r="849" spans="13:13">
      <c r="M849" s="32"/>
    </row>
    <row r="850" spans="13:13">
      <c r="M850" s="32"/>
    </row>
    <row r="851" spans="13:13">
      <c r="M851" s="32"/>
    </row>
    <row r="852" spans="13:13">
      <c r="M852" s="32"/>
    </row>
    <row r="853" spans="13:13">
      <c r="M853" s="32"/>
    </row>
    <row r="854" spans="13:13">
      <c r="M854" s="32"/>
    </row>
    <row r="855" spans="13:13">
      <c r="M855" s="32"/>
    </row>
    <row r="856" spans="13:13">
      <c r="M856" s="32"/>
    </row>
    <row r="857" spans="13:13">
      <c r="M857" s="32"/>
    </row>
    <row r="858" spans="13:13">
      <c r="M858" s="32"/>
    </row>
    <row r="859" spans="13:13">
      <c r="M859" s="32"/>
    </row>
    <row r="860" spans="13:13">
      <c r="M860" s="32"/>
    </row>
    <row r="861" spans="13:13">
      <c r="M861" s="32"/>
    </row>
    <row r="862" spans="13:13">
      <c r="M862" s="32"/>
    </row>
    <row r="863" spans="13:13">
      <c r="M863" s="32"/>
    </row>
    <row r="864" spans="13:13">
      <c r="M864" s="32"/>
    </row>
    <row r="865" spans="13:13">
      <c r="M865" s="32"/>
    </row>
    <row r="866" spans="13:13">
      <c r="M866" s="32"/>
    </row>
    <row r="867" spans="13:13">
      <c r="M867" s="32"/>
    </row>
    <row r="868" spans="13:13">
      <c r="M868" s="32"/>
    </row>
    <row r="869" spans="13:13">
      <c r="M869" s="32"/>
    </row>
    <row r="870" spans="13:13">
      <c r="M870" s="32"/>
    </row>
    <row r="871" spans="13:13">
      <c r="M871" s="32"/>
    </row>
    <row r="872" spans="13:13">
      <c r="M872" s="32"/>
    </row>
    <row r="873" spans="13:13">
      <c r="M873" s="32"/>
    </row>
    <row r="874" spans="13:13">
      <c r="M874" s="32"/>
    </row>
    <row r="875" spans="13:13">
      <c r="M875" s="32"/>
    </row>
    <row r="876" spans="13:13">
      <c r="M876" s="32"/>
    </row>
    <row r="877" spans="13:13">
      <c r="M877" s="32"/>
    </row>
    <row r="878" spans="13:13">
      <c r="M878" s="32"/>
    </row>
    <row r="879" spans="13:13">
      <c r="M879" s="32"/>
    </row>
    <row r="880" spans="13:13">
      <c r="M880" s="32"/>
    </row>
    <row r="881" spans="13:13">
      <c r="M881" s="32"/>
    </row>
    <row r="882" spans="13:13">
      <c r="M882" s="32"/>
    </row>
    <row r="883" spans="13:13">
      <c r="M883" s="32"/>
    </row>
    <row r="884" spans="13:13">
      <c r="M884" s="32"/>
    </row>
    <row r="885" spans="13:13">
      <c r="M885" s="32"/>
    </row>
    <row r="886" spans="13:13">
      <c r="M886" s="32"/>
    </row>
    <row r="887" spans="13:13">
      <c r="M887" s="32"/>
    </row>
    <row r="888" spans="13:13">
      <c r="M888" s="32"/>
    </row>
    <row r="889" spans="13:13">
      <c r="M889" s="32"/>
    </row>
    <row r="890" spans="13:13">
      <c r="M890" s="32"/>
    </row>
    <row r="891" spans="13:13">
      <c r="M891" s="32"/>
    </row>
    <row r="892" spans="13:13">
      <c r="M892" s="32"/>
    </row>
    <row r="893" spans="13:13">
      <c r="M893" s="32"/>
    </row>
    <row r="894" spans="13:13">
      <c r="M894" s="32"/>
    </row>
    <row r="895" spans="13:13">
      <c r="M895" s="32"/>
    </row>
    <row r="896" spans="13:13">
      <c r="M896" s="32"/>
    </row>
    <row r="897" spans="13:13">
      <c r="M897" s="32"/>
    </row>
    <row r="898" spans="13:13">
      <c r="M898" s="32"/>
    </row>
    <row r="899" spans="13:13">
      <c r="M899" s="32"/>
    </row>
    <row r="900" spans="13:13">
      <c r="M900" s="32"/>
    </row>
    <row r="901" spans="13:13">
      <c r="M901" s="32"/>
    </row>
    <row r="902" spans="13:13">
      <c r="M902" s="32"/>
    </row>
    <row r="903" spans="13:13">
      <c r="M903" s="32"/>
    </row>
    <row r="904" spans="13:13">
      <c r="M904" s="32"/>
    </row>
    <row r="905" spans="13:13">
      <c r="M905" s="32"/>
    </row>
    <row r="906" spans="13:13">
      <c r="M906" s="32"/>
    </row>
    <row r="907" spans="13:13">
      <c r="M907" s="32"/>
    </row>
    <row r="908" spans="13:13">
      <c r="M908" s="32"/>
    </row>
    <row r="909" spans="13:13">
      <c r="M909" s="32"/>
    </row>
    <row r="910" spans="13:13">
      <c r="M910" s="32"/>
    </row>
    <row r="911" spans="13:13">
      <c r="M911" s="32"/>
    </row>
    <row r="912" spans="13:13">
      <c r="M912" s="32"/>
    </row>
    <row r="913" spans="13:13">
      <c r="M913" s="32"/>
    </row>
    <row r="914" spans="13:13">
      <c r="M914" s="32"/>
    </row>
    <row r="915" spans="13:13">
      <c r="M915" s="32"/>
    </row>
    <row r="916" spans="13:13">
      <c r="M916" s="32"/>
    </row>
    <row r="917" spans="13:13">
      <c r="M917" s="32"/>
    </row>
    <row r="918" spans="13:13">
      <c r="M918" s="32"/>
    </row>
    <row r="919" spans="13:13">
      <c r="M919" s="32"/>
    </row>
    <row r="920" spans="13:13">
      <c r="M920" s="32"/>
    </row>
    <row r="921" spans="13:13">
      <c r="M921" s="32"/>
    </row>
    <row r="922" spans="13:13">
      <c r="M922" s="32"/>
    </row>
    <row r="923" spans="13:13">
      <c r="M923" s="32"/>
    </row>
    <row r="924" spans="13:13">
      <c r="M924" s="32"/>
    </row>
    <row r="925" spans="13:13">
      <c r="M925" s="32"/>
    </row>
    <row r="926" spans="13:13">
      <c r="M926" s="32"/>
    </row>
    <row r="927" spans="13:13">
      <c r="M927" s="32"/>
    </row>
    <row r="928" spans="13:13">
      <c r="M928" s="32"/>
    </row>
    <row r="929" spans="13:13">
      <c r="M929" s="32"/>
    </row>
    <row r="930" spans="13:13">
      <c r="M930" s="32"/>
    </row>
    <row r="931" spans="13:13">
      <c r="M931" s="32"/>
    </row>
    <row r="932" spans="13:13">
      <c r="M932" s="32"/>
    </row>
    <row r="933" spans="13:13">
      <c r="M933" s="32"/>
    </row>
    <row r="934" spans="13:13">
      <c r="M934" s="32"/>
    </row>
    <row r="935" spans="13:13">
      <c r="M935" s="32"/>
    </row>
    <row r="936" spans="13:13">
      <c r="M936" s="32"/>
    </row>
    <row r="937" spans="13:13">
      <c r="M937" s="32"/>
    </row>
    <row r="938" spans="13:13">
      <c r="M938" s="32"/>
    </row>
    <row r="939" spans="13:13">
      <c r="M939" s="32"/>
    </row>
    <row r="940" spans="13:13">
      <c r="M940" s="32"/>
    </row>
    <row r="941" spans="13:13">
      <c r="M941" s="32"/>
    </row>
    <row r="942" spans="13:13">
      <c r="M942" s="32"/>
    </row>
    <row r="943" spans="13:13">
      <c r="M943" s="32"/>
    </row>
    <row r="944" spans="13:13">
      <c r="M944" s="32"/>
    </row>
    <row r="945" spans="13:13">
      <c r="M945" s="32"/>
    </row>
    <row r="946" spans="13:13">
      <c r="M946" s="32"/>
    </row>
    <row r="947" spans="13:13">
      <c r="M947" s="32"/>
    </row>
    <row r="948" spans="13:13">
      <c r="M948" s="32"/>
    </row>
    <row r="949" spans="13:13">
      <c r="M949" s="32"/>
    </row>
    <row r="950" spans="13:13">
      <c r="M950" s="32"/>
    </row>
    <row r="951" spans="13:13">
      <c r="M951" s="32"/>
    </row>
    <row r="952" spans="13:13">
      <c r="M952" s="32"/>
    </row>
    <row r="953" spans="13:13">
      <c r="M953" s="32"/>
    </row>
    <row r="954" spans="13:13">
      <c r="M954" s="32"/>
    </row>
    <row r="955" spans="13:13">
      <c r="M955" s="32"/>
    </row>
    <row r="956" spans="13:13">
      <c r="M956" s="32"/>
    </row>
    <row r="957" spans="13:13">
      <c r="M957" s="32"/>
    </row>
    <row r="958" spans="13:13">
      <c r="M958" s="32"/>
    </row>
    <row r="959" spans="13:13">
      <c r="M959" s="32"/>
    </row>
    <row r="960" spans="13:13">
      <c r="M960" s="32"/>
    </row>
    <row r="961" spans="13:13">
      <c r="M961" s="32"/>
    </row>
    <row r="962" spans="13:13">
      <c r="M962" s="32"/>
    </row>
    <row r="963" spans="13:13">
      <c r="M963" s="32"/>
    </row>
    <row r="964" spans="13:13">
      <c r="M964" s="32"/>
    </row>
    <row r="965" spans="13:13">
      <c r="M965" s="32"/>
    </row>
    <row r="966" spans="13:13">
      <c r="M966" s="32"/>
    </row>
    <row r="967" spans="13:13">
      <c r="M967" s="32"/>
    </row>
    <row r="968" spans="13:13">
      <c r="M968" s="32"/>
    </row>
    <row r="969" spans="13:13">
      <c r="M969" s="32"/>
    </row>
    <row r="970" spans="13:13">
      <c r="M970" s="32"/>
    </row>
    <row r="971" spans="13:13">
      <c r="M971" s="32"/>
    </row>
    <row r="972" spans="13:13">
      <c r="M972" s="32"/>
    </row>
    <row r="973" spans="13:13">
      <c r="M973" s="32"/>
    </row>
    <row r="974" spans="13:13">
      <c r="M974" s="32"/>
    </row>
    <row r="975" spans="13:13">
      <c r="M975" s="32"/>
    </row>
    <row r="976" spans="13:13">
      <c r="M976" s="32"/>
    </row>
    <row r="977" spans="13:13">
      <c r="M977" s="32"/>
    </row>
    <row r="978" spans="13:13">
      <c r="M978" s="32"/>
    </row>
    <row r="979" spans="13:13">
      <c r="M979" s="32"/>
    </row>
    <row r="980" spans="13:13">
      <c r="M980" s="32"/>
    </row>
    <row r="981" spans="13:13">
      <c r="M981" s="32"/>
    </row>
    <row r="982" spans="13:13">
      <c r="M982" s="32"/>
    </row>
    <row r="983" spans="13:13">
      <c r="M983" s="32"/>
    </row>
    <row r="984" spans="13:13">
      <c r="M984" s="32"/>
    </row>
    <row r="985" spans="13:13">
      <c r="M985" s="32"/>
    </row>
    <row r="986" spans="13:13">
      <c r="M986" s="32"/>
    </row>
    <row r="987" spans="13:13">
      <c r="M987" s="32"/>
    </row>
    <row r="988" spans="13:13">
      <c r="M988" s="32"/>
    </row>
    <row r="989" spans="13:13">
      <c r="M989" s="32"/>
    </row>
    <row r="990" spans="13:13">
      <c r="M990" s="32"/>
    </row>
    <row r="991" spans="13:13">
      <c r="M991" s="32"/>
    </row>
    <row r="992" spans="13:13">
      <c r="M992" s="32"/>
    </row>
    <row r="993" spans="13:13">
      <c r="M993" s="32"/>
    </row>
    <row r="994" spans="13:13">
      <c r="M994" s="32"/>
    </row>
    <row r="995" spans="13:13">
      <c r="M995" s="32"/>
    </row>
    <row r="996" spans="13:13">
      <c r="M996" s="32"/>
    </row>
    <row r="997" spans="13:13">
      <c r="M997" s="32"/>
    </row>
    <row r="998" spans="13:13">
      <c r="M998" s="32"/>
    </row>
    <row r="999" spans="13:13">
      <c r="M999" s="32"/>
    </row>
    <row r="1000" spans="13:13">
      <c r="M1000" s="32"/>
    </row>
    <row r="1001" spans="13:13">
      <c r="M1001" s="32"/>
    </row>
    <row r="1002" spans="13:13">
      <c r="M1002" s="32"/>
    </row>
    <row r="1003" spans="13:13">
      <c r="M1003" s="32"/>
    </row>
    <row r="1004" spans="13:13">
      <c r="M1004" s="32"/>
    </row>
    <row r="1005" spans="13:13">
      <c r="M1005" s="32"/>
    </row>
    <row r="1006" spans="13:13">
      <c r="M1006" s="32"/>
    </row>
  </sheetData>
  <mergeCells count="6">
    <mergeCell ref="A66:K66"/>
    <mergeCell ref="Q7:AC7"/>
    <mergeCell ref="G7:M7"/>
    <mergeCell ref="AN7:AP7"/>
    <mergeCell ref="AX7:AZ7"/>
    <mergeCell ref="AH7:AJ7"/>
  </mergeCells>
  <phoneticPr fontId="3" type="noConversion"/>
  <pageMargins left="0.9" right="0.75" top="0.5" bottom="0.5" header="0.25" footer="0.25"/>
  <pageSetup scale="80" firstPageNumber="38" pageOrder="overThenDown" orientation="portrait" useFirstPageNumber="1" r:id="rId1"/>
  <headerFooter scaleWithDoc="0" alignWithMargins="0"/>
  <rowBreaks count="1" manualBreakCount="1">
    <brk id="66" max="76" man="1"/>
  </rowBreaks>
  <colBreaks count="6" manualBreakCount="6">
    <brk id="14" max="131" man="1"/>
    <brk id="29" max="1048575" man="1"/>
    <brk id="42" max="131" man="1"/>
    <brk id="62" max="1048575" man="1"/>
    <brk id="72" max="131" man="1"/>
    <brk id="7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S137"/>
  <sheetViews>
    <sheetView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0" sqref="A10"/>
      <selection pane="bottomRight" activeCell="A3" sqref="A3"/>
    </sheetView>
  </sheetViews>
  <sheetFormatPr defaultRowHeight="12"/>
  <cols>
    <col min="1" max="1" width="40.7109375" style="33" customWidth="1"/>
    <col min="2" max="2" width="1.7109375" style="33" customWidth="1"/>
    <col min="3" max="3" width="10.5703125" style="33" customWidth="1"/>
    <col min="4" max="4" width="1.7109375" style="33" hidden="1" customWidth="1"/>
    <col min="5" max="5" width="11.7109375" style="33" hidden="1" customWidth="1"/>
    <col min="6" max="6" width="1.7109375" style="33" customWidth="1"/>
    <col min="7" max="7" width="11.7109375" style="33" customWidth="1"/>
    <col min="8" max="8" width="1.7109375" style="33" customWidth="1"/>
    <col min="9" max="9" width="10.85546875" style="33" customWidth="1"/>
    <col min="10" max="10" width="1.7109375" style="33" customWidth="1"/>
    <col min="11" max="11" width="11.7109375" style="33" customWidth="1"/>
    <col min="12" max="12" width="1.7109375" style="33" customWidth="1"/>
    <col min="13" max="13" width="11.7109375" style="33" customWidth="1"/>
    <col min="14" max="14" width="1.28515625" style="33" customWidth="1"/>
    <col min="15" max="15" width="10.7109375" style="33" customWidth="1"/>
    <col min="16" max="16" width="1.28515625" style="33" customWidth="1"/>
    <col min="17" max="17" width="10.140625" style="33" customWidth="1"/>
    <col min="18" max="18" width="1.28515625" style="33" customWidth="1"/>
    <col min="19" max="19" width="10.28515625" style="33" customWidth="1"/>
    <col min="20" max="20" width="1.28515625" style="33" customWidth="1"/>
    <col min="21" max="21" width="10.85546875" style="33" bestFit="1" customWidth="1"/>
    <col min="22" max="22" width="1.28515625" style="33" customWidth="1"/>
    <col min="23" max="23" width="11.7109375" style="33" customWidth="1"/>
    <col min="24" max="24" width="1.28515625" style="33" customWidth="1"/>
    <col min="25" max="25" width="11.7109375" style="33" customWidth="1"/>
    <col min="26" max="26" width="1.28515625" style="33" customWidth="1"/>
    <col min="27" max="27" width="11.7109375" style="33" customWidth="1"/>
    <col min="28" max="28" width="1.28515625" style="33" customWidth="1"/>
    <col min="29" max="29" width="11.7109375" style="33" customWidth="1"/>
    <col min="30" max="30" width="1.28515625" style="33" customWidth="1"/>
    <col min="31" max="31" width="11.7109375" style="33" customWidth="1"/>
    <col min="32" max="32" width="1.7109375" style="33" customWidth="1"/>
    <col min="33" max="33" width="11.7109375" style="33" customWidth="1"/>
    <col min="34" max="35" width="1.7109375" style="33" customWidth="1"/>
    <col min="36" max="36" width="22" style="33" customWidth="1"/>
    <col min="37" max="37" width="15.7109375" style="33" customWidth="1"/>
    <col min="38" max="38" width="17" style="33" customWidth="1"/>
    <col min="39" max="39" width="13.7109375" style="33" customWidth="1"/>
    <col min="40" max="41" width="9.140625" style="33"/>
    <col min="42" max="42" width="17.5703125" style="33" bestFit="1" customWidth="1"/>
    <col min="43" max="16384" width="9.140625" style="33"/>
  </cols>
  <sheetData>
    <row r="1" spans="1:44" s="3" customFormat="1">
      <c r="A1" s="4" t="s">
        <v>127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44" s="3" customFormat="1">
      <c r="A2" s="4" t="s">
        <v>297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44" s="3" customFormat="1">
      <c r="A3" s="4" t="s">
        <v>266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44" s="3" customFormat="1">
      <c r="A4" s="7" t="s">
        <v>269</v>
      </c>
      <c r="B4" s="7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4" s="3" customFormat="1">
      <c r="A5" s="6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4" s="3" customFormat="1">
      <c r="A6" s="35" t="s">
        <v>380</v>
      </c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44" s="3" customFormat="1">
      <c r="A7" s="6"/>
      <c r="B7" s="7"/>
      <c r="C7" s="7"/>
      <c r="D7" s="7"/>
      <c r="E7" s="7"/>
      <c r="F7" s="1"/>
      <c r="G7" s="101" t="s">
        <v>2</v>
      </c>
      <c r="H7" s="101"/>
      <c r="I7" s="101"/>
      <c r="J7" s="101"/>
      <c r="K7" s="101"/>
      <c r="L7" s="1"/>
      <c r="M7" s="1"/>
      <c r="N7" s="1"/>
      <c r="O7" s="101" t="s">
        <v>15</v>
      </c>
      <c r="P7" s="101"/>
      <c r="Q7" s="101"/>
      <c r="R7" s="1"/>
      <c r="S7" s="1"/>
      <c r="T7" s="1"/>
      <c r="U7" s="101" t="s">
        <v>426</v>
      </c>
      <c r="V7" s="101"/>
      <c r="W7" s="101"/>
      <c r="X7" s="101"/>
      <c r="Y7" s="101"/>
      <c r="Z7" s="101"/>
      <c r="AA7" s="101"/>
      <c r="AB7" s="101"/>
      <c r="AC7" s="101"/>
    </row>
    <row r="8" spans="1:44" s="11" customFormat="1">
      <c r="A8" s="22"/>
      <c r="B8" s="49"/>
      <c r="C8" s="49"/>
      <c r="D8" s="49"/>
      <c r="E8" s="49"/>
      <c r="F8" s="2"/>
      <c r="G8" s="2"/>
      <c r="H8" s="2"/>
      <c r="I8" s="2"/>
      <c r="J8" s="2"/>
      <c r="K8" s="2"/>
      <c r="L8" s="2"/>
      <c r="M8" s="2"/>
      <c r="N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 t="s">
        <v>8</v>
      </c>
      <c r="AG8" s="11" t="s">
        <v>4</v>
      </c>
    </row>
    <row r="9" spans="1:44" s="11" customFormat="1">
      <c r="A9" s="2"/>
      <c r="B9" s="2"/>
      <c r="C9" s="2"/>
      <c r="D9" s="2"/>
      <c r="E9" s="2"/>
      <c r="F9" s="2"/>
      <c r="G9" s="2" t="s">
        <v>93</v>
      </c>
      <c r="H9" s="2"/>
      <c r="I9" s="2" t="s">
        <v>18</v>
      </c>
      <c r="J9" s="2"/>
      <c r="K9" s="2" t="s">
        <v>85</v>
      </c>
      <c r="L9" s="2"/>
      <c r="M9" s="2" t="s">
        <v>8</v>
      </c>
      <c r="N9" s="2"/>
      <c r="O9" s="2"/>
      <c r="P9" s="2"/>
      <c r="Q9" s="2" t="s">
        <v>7</v>
      </c>
      <c r="R9" s="2"/>
      <c r="S9" s="2" t="s">
        <v>8</v>
      </c>
      <c r="T9" s="2"/>
      <c r="U9" s="2" t="s">
        <v>299</v>
      </c>
      <c r="V9" s="2"/>
      <c r="W9" s="2" t="s">
        <v>18</v>
      </c>
      <c r="X9" s="2"/>
      <c r="Y9" s="2" t="s">
        <v>300</v>
      </c>
      <c r="Z9" s="2"/>
      <c r="AA9" s="2" t="s">
        <v>301</v>
      </c>
      <c r="AB9" s="2"/>
      <c r="AC9" s="2" t="s">
        <v>302</v>
      </c>
      <c r="AD9" s="2"/>
      <c r="AE9" s="2" t="s">
        <v>94</v>
      </c>
      <c r="AG9" s="11" t="s">
        <v>95</v>
      </c>
    </row>
    <row r="10" spans="1:44" s="2" customFormat="1">
      <c r="A10" s="31" t="s">
        <v>295</v>
      </c>
      <c r="B10" s="11"/>
      <c r="C10" s="31" t="s">
        <v>12</v>
      </c>
      <c r="D10" s="11"/>
      <c r="E10" s="31" t="s">
        <v>13</v>
      </c>
      <c r="G10" s="31" t="s">
        <v>14</v>
      </c>
      <c r="I10" s="31" t="s">
        <v>2</v>
      </c>
      <c r="K10" s="31" t="s">
        <v>2</v>
      </c>
      <c r="M10" s="31" t="s">
        <v>2</v>
      </c>
      <c r="O10" s="31" t="s">
        <v>15</v>
      </c>
      <c r="Q10" s="31" t="s">
        <v>96</v>
      </c>
      <c r="S10" s="31" t="s">
        <v>15</v>
      </c>
      <c r="U10" s="31" t="s">
        <v>97</v>
      </c>
      <c r="W10" s="31" t="s">
        <v>97</v>
      </c>
      <c r="Y10" s="31" t="s">
        <v>97</v>
      </c>
      <c r="AA10" s="31" t="s">
        <v>97</v>
      </c>
      <c r="AC10" s="31" t="s">
        <v>97</v>
      </c>
      <c r="AE10" s="31" t="s">
        <v>119</v>
      </c>
      <c r="AG10" s="31" t="s">
        <v>20</v>
      </c>
    </row>
    <row r="11" spans="1:44" s="2" customFormat="1">
      <c r="B11" s="11"/>
      <c r="D11" s="11"/>
      <c r="AK11" s="41" t="s">
        <v>349</v>
      </c>
      <c r="AL11" s="41" t="s">
        <v>357</v>
      </c>
      <c r="AO11" s="2" t="s">
        <v>365</v>
      </c>
      <c r="AP11" s="41" t="s">
        <v>371</v>
      </c>
    </row>
    <row r="12" spans="1:44" ht="12.75" customHeight="1">
      <c r="A12" s="38" t="s">
        <v>264</v>
      </c>
    </row>
    <row r="13" spans="1:44" ht="12.75" customHeight="1">
      <c r="A13" s="38"/>
    </row>
    <row r="14" spans="1:44">
      <c r="A14" s="3" t="s">
        <v>306</v>
      </c>
      <c r="B14" s="3"/>
      <c r="C14" s="3" t="s">
        <v>272</v>
      </c>
      <c r="G14" s="20">
        <v>6078359</v>
      </c>
      <c r="H14" s="20"/>
      <c r="I14" s="20">
        <v>0</v>
      </c>
      <c r="J14" s="20"/>
      <c r="K14" s="15">
        <f>+M14-I14-G14</f>
        <v>3937899</v>
      </c>
      <c r="L14" s="20"/>
      <c r="M14" s="20">
        <v>10016258</v>
      </c>
      <c r="N14" s="20"/>
      <c r="O14" s="15">
        <f>+S14-Q14</f>
        <v>1157324</v>
      </c>
      <c r="P14" s="20"/>
      <c r="Q14" s="20">
        <v>3257255</v>
      </c>
      <c r="R14" s="20"/>
      <c r="S14" s="20">
        <v>4414579</v>
      </c>
      <c r="T14" s="20"/>
      <c r="U14" s="20">
        <v>41195</v>
      </c>
      <c r="V14" s="20"/>
      <c r="W14" s="20">
        <v>872314</v>
      </c>
      <c r="X14" s="20"/>
      <c r="Y14" s="20">
        <v>0</v>
      </c>
      <c r="Z14" s="20"/>
      <c r="AA14" s="20">
        <v>1079372</v>
      </c>
      <c r="AB14" s="20"/>
      <c r="AC14" s="20">
        <v>3608798</v>
      </c>
      <c r="AD14" s="20"/>
      <c r="AE14" s="24">
        <f>+AA14+Y14+U14+W14+AC14</f>
        <v>5601679</v>
      </c>
      <c r="AF14" s="20"/>
      <c r="AG14" s="3">
        <f>+G14+I14+K14-O14-Q14-AA14-Y14-U14-W14-AC14</f>
        <v>0</v>
      </c>
      <c r="AH14" s="20"/>
      <c r="AI14" s="20"/>
      <c r="AJ14" s="16" t="s">
        <v>303</v>
      </c>
      <c r="AK14" s="3" t="str">
        <f>A14</f>
        <v>Apollo Career Center</v>
      </c>
      <c r="AL14" s="20" t="str">
        <f>GenExp!A14</f>
        <v>Apollo Career Center</v>
      </c>
      <c r="AM14" s="20" t="b">
        <f>AK14=AL14</f>
        <v>1</v>
      </c>
      <c r="AN14" s="20"/>
      <c r="AO14" s="20" t="str">
        <f>C14</f>
        <v>Allen</v>
      </c>
      <c r="AP14" s="20" t="b">
        <f>GenExp!C14=C14</f>
        <v>1</v>
      </c>
      <c r="AQ14" s="20"/>
    </row>
    <row r="15" spans="1:44" s="20" customFormat="1">
      <c r="A15" s="3" t="s">
        <v>249</v>
      </c>
      <c r="C15" s="20" t="s">
        <v>146</v>
      </c>
      <c r="E15" s="26">
        <v>62042</v>
      </c>
      <c r="G15" s="3">
        <v>5200593</v>
      </c>
      <c r="H15" s="3"/>
      <c r="I15" s="3">
        <v>0</v>
      </c>
      <c r="J15" s="3"/>
      <c r="K15" s="8">
        <f>+M15-I15-G15</f>
        <v>3158976</v>
      </c>
      <c r="L15" s="3"/>
      <c r="M15" s="3">
        <v>8359569</v>
      </c>
      <c r="N15" s="3"/>
      <c r="O15" s="8">
        <f t="shared" ref="O15:O80" si="0">+S15-Q15</f>
        <v>691367</v>
      </c>
      <c r="P15" s="3"/>
      <c r="Q15" s="3">
        <v>2049485</v>
      </c>
      <c r="R15" s="3"/>
      <c r="S15" s="3">
        <v>2740852</v>
      </c>
      <c r="T15" s="3"/>
      <c r="U15" s="3">
        <v>14517</v>
      </c>
      <c r="V15" s="3"/>
      <c r="W15" s="3">
        <v>1083586</v>
      </c>
      <c r="X15" s="3"/>
      <c r="Y15" s="3">
        <v>105492</v>
      </c>
      <c r="Z15" s="3"/>
      <c r="AA15" s="3">
        <v>0</v>
      </c>
      <c r="AB15" s="3"/>
      <c r="AC15" s="3">
        <v>4415122</v>
      </c>
      <c r="AD15" s="3"/>
      <c r="AE15" s="27">
        <f>+AA15+Y15+U15+W15+AC15</f>
        <v>5618717</v>
      </c>
      <c r="AF15" s="3"/>
      <c r="AG15" s="3">
        <f t="shared" ref="AG15:AG64" si="1">+G15+I15+K15-O15-Q15-AA15-Y15-U15-W15-AC15</f>
        <v>0</v>
      </c>
      <c r="AH15" s="16"/>
      <c r="AI15" s="16"/>
      <c r="AJ15" s="3"/>
      <c r="AK15" s="3" t="str">
        <f t="shared" ref="AK15:AK79" si="2">A15</f>
        <v>Ashland County-West Holmes JVSD</v>
      </c>
      <c r="AL15" s="20" t="str">
        <f>GenExp!A15</f>
        <v>Ashland County-West Holmes JVSD</v>
      </c>
      <c r="AM15" s="20" t="b">
        <f t="shared" ref="AM15:AM79" si="3">AK15=AL15</f>
        <v>1</v>
      </c>
      <c r="AN15" s="16"/>
      <c r="AO15" s="20" t="str">
        <f t="shared" ref="AO15:AO78" si="4">C15</f>
        <v>Ashland</v>
      </c>
      <c r="AP15" s="20" t="b">
        <f>GenExp!C15=C15</f>
        <v>1</v>
      </c>
      <c r="AQ15" s="16"/>
      <c r="AR15" s="16"/>
    </row>
    <row r="16" spans="1:44" s="16" customFormat="1">
      <c r="A16" s="3" t="s">
        <v>210</v>
      </c>
      <c r="C16" s="16" t="s">
        <v>147</v>
      </c>
      <c r="E16" s="16">
        <v>50815</v>
      </c>
      <c r="G16" s="3">
        <v>11462262</v>
      </c>
      <c r="H16" s="3"/>
      <c r="I16" s="3">
        <v>5098</v>
      </c>
      <c r="J16" s="3"/>
      <c r="K16" s="8">
        <f>+M16-I16-G16</f>
        <v>5490181</v>
      </c>
      <c r="L16" s="3"/>
      <c r="M16" s="3">
        <v>16957541</v>
      </c>
      <c r="N16" s="3"/>
      <c r="O16" s="8">
        <f t="shared" si="0"/>
        <v>1882784</v>
      </c>
      <c r="P16" s="3"/>
      <c r="Q16" s="3">
        <v>3202936</v>
      </c>
      <c r="R16" s="3"/>
      <c r="S16" s="3">
        <v>5085720</v>
      </c>
      <c r="T16" s="3"/>
      <c r="U16" s="3">
        <v>41384</v>
      </c>
      <c r="V16" s="3"/>
      <c r="W16" s="3">
        <v>5273098</v>
      </c>
      <c r="X16" s="3"/>
      <c r="Y16" s="3">
        <v>0</v>
      </c>
      <c r="Z16" s="3"/>
      <c r="AA16" s="3">
        <v>1347830</v>
      </c>
      <c r="AB16" s="3"/>
      <c r="AC16" s="3">
        <v>5209509</v>
      </c>
      <c r="AD16" s="3"/>
      <c r="AE16" s="27">
        <f t="shared" ref="AE16:AE64" si="5">+AA16+Y16+U16+W16+AC16</f>
        <v>11871821</v>
      </c>
      <c r="AF16" s="3"/>
      <c r="AG16" s="3">
        <f t="shared" si="1"/>
        <v>0</v>
      </c>
      <c r="AJ16" s="3"/>
      <c r="AK16" s="3" t="str">
        <f t="shared" si="2"/>
        <v>Ashtabula County JVSD</v>
      </c>
      <c r="AL16" s="20" t="str">
        <f>GenExp!A16</f>
        <v>Ashtabula County JVSD</v>
      </c>
      <c r="AM16" s="20" t="b">
        <f t="shared" si="3"/>
        <v>1</v>
      </c>
      <c r="AO16" s="20" t="str">
        <f t="shared" si="4"/>
        <v>Ashtabula</v>
      </c>
      <c r="AP16" s="20" t="b">
        <f>GenExp!C16=C16</f>
        <v>1</v>
      </c>
    </row>
    <row r="17" spans="1:42" s="16" customFormat="1">
      <c r="A17" s="3" t="s">
        <v>325</v>
      </c>
      <c r="C17" s="16" t="s">
        <v>149</v>
      </c>
      <c r="E17" s="16">
        <v>51169</v>
      </c>
      <c r="G17" s="3">
        <f>6739514+258467</f>
        <v>6997981</v>
      </c>
      <c r="H17" s="3"/>
      <c r="I17" s="3">
        <v>0</v>
      </c>
      <c r="J17" s="3"/>
      <c r="K17" s="8">
        <f t="shared" ref="K17:K64" si="6">+M17-I17-G17</f>
        <v>7617021</v>
      </c>
      <c r="L17" s="3"/>
      <c r="M17" s="3">
        <v>14615002</v>
      </c>
      <c r="N17" s="3"/>
      <c r="O17" s="8">
        <f t="shared" si="0"/>
        <v>1787954</v>
      </c>
      <c r="P17" s="3"/>
      <c r="Q17" s="3">
        <v>6144708</v>
      </c>
      <c r="R17" s="3"/>
      <c r="S17" s="3">
        <v>7932662</v>
      </c>
      <c r="T17" s="3"/>
      <c r="U17" s="3">
        <v>1089514</v>
      </c>
      <c r="V17" s="3"/>
      <c r="W17" s="3">
        <v>4309</v>
      </c>
      <c r="X17" s="3"/>
      <c r="Y17" s="3">
        <v>0</v>
      </c>
      <c r="Z17" s="3"/>
      <c r="AA17" s="3">
        <v>2795988</v>
      </c>
      <c r="AB17" s="3"/>
      <c r="AC17" s="3">
        <v>2792529</v>
      </c>
      <c r="AD17" s="3"/>
      <c r="AE17" s="27">
        <f t="shared" si="5"/>
        <v>6682340</v>
      </c>
      <c r="AF17" s="3"/>
      <c r="AG17" s="3">
        <f t="shared" si="1"/>
        <v>0</v>
      </c>
      <c r="AJ17" s="3"/>
      <c r="AK17" s="3" t="str">
        <f t="shared" si="2"/>
        <v>Auburn VSD</v>
      </c>
      <c r="AL17" s="20" t="str">
        <f>GenExp!A17</f>
        <v>Auburn VSD</v>
      </c>
      <c r="AM17" s="20" t="b">
        <f t="shared" si="3"/>
        <v>1</v>
      </c>
      <c r="AO17" s="20" t="str">
        <f t="shared" si="4"/>
        <v>Lake</v>
      </c>
      <c r="AP17" s="20" t="b">
        <f>GenExp!C17=C17</f>
        <v>1</v>
      </c>
    </row>
    <row r="18" spans="1:42" s="16" customFormat="1">
      <c r="A18" s="3" t="s">
        <v>326</v>
      </c>
      <c r="C18" s="16" t="s">
        <v>152</v>
      </c>
      <c r="E18" s="16">
        <v>50856</v>
      </c>
      <c r="G18" s="3">
        <v>999688</v>
      </c>
      <c r="H18" s="3"/>
      <c r="I18" s="3">
        <v>33817</v>
      </c>
      <c r="J18" s="3"/>
      <c r="K18" s="8">
        <f t="shared" si="6"/>
        <v>1803795</v>
      </c>
      <c r="L18" s="3"/>
      <c r="M18" s="3">
        <v>2837300</v>
      </c>
      <c r="N18" s="3"/>
      <c r="O18" s="8">
        <f t="shared" si="0"/>
        <v>666210</v>
      </c>
      <c r="P18" s="3"/>
      <c r="Q18" s="3">
        <v>1617060</v>
      </c>
      <c r="R18" s="3"/>
      <c r="S18" s="3">
        <v>2283270</v>
      </c>
      <c r="T18" s="3"/>
      <c r="U18" s="3">
        <f>28539+10656</f>
        <v>39195</v>
      </c>
      <c r="V18" s="3"/>
      <c r="W18" s="3">
        <f>22817+65459+7051+4233+11000</f>
        <v>110560</v>
      </c>
      <c r="X18" s="3"/>
      <c r="Y18" s="3">
        <v>0</v>
      </c>
      <c r="Z18" s="3"/>
      <c r="AA18" s="3">
        <v>395244</v>
      </c>
      <c r="AB18" s="3"/>
      <c r="AC18" s="3">
        <v>9031</v>
      </c>
      <c r="AD18" s="3"/>
      <c r="AE18" s="27">
        <f t="shared" si="5"/>
        <v>554030</v>
      </c>
      <c r="AF18" s="3"/>
      <c r="AG18" s="3">
        <f t="shared" si="1"/>
        <v>0</v>
      </c>
      <c r="AJ18" s="3"/>
      <c r="AK18" s="3" t="str">
        <f t="shared" si="2"/>
        <v>Belmont-Harrison VSD</v>
      </c>
      <c r="AL18" s="20" t="str">
        <f>GenExp!A18</f>
        <v>Belmont-Harrison VSD</v>
      </c>
      <c r="AM18" s="20" t="b">
        <f t="shared" si="3"/>
        <v>1</v>
      </c>
      <c r="AO18" s="20" t="str">
        <f t="shared" si="4"/>
        <v>Belmont</v>
      </c>
      <c r="AP18" s="20" t="b">
        <f>GenExp!C18=C18</f>
        <v>1</v>
      </c>
    </row>
    <row r="19" spans="1:42" s="16" customFormat="1">
      <c r="A19" s="3" t="s">
        <v>227</v>
      </c>
      <c r="C19" s="16" t="s">
        <v>202</v>
      </c>
      <c r="E19" s="16">
        <v>51656</v>
      </c>
      <c r="G19" s="3">
        <v>19272592</v>
      </c>
      <c r="H19" s="3"/>
      <c r="I19" s="3">
        <v>41084</v>
      </c>
      <c r="J19" s="3"/>
      <c r="K19" s="8">
        <f t="shared" si="6"/>
        <v>5379620</v>
      </c>
      <c r="L19" s="3"/>
      <c r="M19" s="3">
        <v>24693296</v>
      </c>
      <c r="N19" s="3"/>
      <c r="O19" s="8">
        <f t="shared" si="0"/>
        <v>1608481</v>
      </c>
      <c r="P19" s="3"/>
      <c r="Q19" s="3">
        <f>3912518+624929</f>
        <v>4537447</v>
      </c>
      <c r="R19" s="3"/>
      <c r="S19" s="3">
        <v>6145928</v>
      </c>
      <c r="T19" s="3"/>
      <c r="U19" s="3">
        <f>121768+10543</f>
        <v>132311</v>
      </c>
      <c r="V19" s="3"/>
      <c r="W19" s="3">
        <f>4573217+4715+41084+1993</f>
        <v>4621009</v>
      </c>
      <c r="X19" s="3"/>
      <c r="Y19" s="3">
        <v>1443149</v>
      </c>
      <c r="Z19" s="3"/>
      <c r="AA19" s="3">
        <f>31438+32936+363612+97003+113577+30414</f>
        <v>668980</v>
      </c>
      <c r="AB19" s="3"/>
      <c r="AC19" s="3">
        <v>11681919</v>
      </c>
      <c r="AD19" s="3"/>
      <c r="AE19" s="27">
        <f t="shared" si="5"/>
        <v>18547368</v>
      </c>
      <c r="AF19" s="3"/>
      <c r="AG19" s="3">
        <f t="shared" si="1"/>
        <v>0</v>
      </c>
      <c r="AJ19" s="3"/>
      <c r="AK19" s="3" t="str">
        <f t="shared" si="2"/>
        <v>Buckeye JVSD</v>
      </c>
      <c r="AL19" s="20" t="str">
        <f>GenExp!A19</f>
        <v>Buckeye JVSD</v>
      </c>
      <c r="AM19" s="20" t="b">
        <f t="shared" si="3"/>
        <v>1</v>
      </c>
      <c r="AO19" s="20" t="str">
        <f t="shared" si="4"/>
        <v>Tuscarawas</v>
      </c>
      <c r="AP19" s="20" t="b">
        <f>GenExp!C19=C19</f>
        <v>1</v>
      </c>
    </row>
    <row r="20" spans="1:42" s="16" customFormat="1">
      <c r="A20" s="3" t="s">
        <v>287</v>
      </c>
      <c r="C20" s="16" t="s">
        <v>150</v>
      </c>
      <c r="E20" s="16">
        <v>50880</v>
      </c>
      <c r="G20" s="3">
        <v>17344818</v>
      </c>
      <c r="H20" s="3"/>
      <c r="I20" s="3">
        <v>467953</v>
      </c>
      <c r="J20" s="3"/>
      <c r="K20" s="8">
        <f t="shared" si="6"/>
        <v>17083619</v>
      </c>
      <c r="L20" s="3"/>
      <c r="M20" s="3">
        <v>34896390</v>
      </c>
      <c r="N20" s="3"/>
      <c r="O20" s="8">
        <f t="shared" si="0"/>
        <v>8560916</v>
      </c>
      <c r="P20" s="3"/>
      <c r="Q20" s="3">
        <v>16518219</v>
      </c>
      <c r="R20" s="3"/>
      <c r="S20" s="3">
        <v>25079135</v>
      </c>
      <c r="T20" s="3"/>
      <c r="U20" s="3">
        <v>1077422</v>
      </c>
      <c r="V20" s="3"/>
      <c r="W20" s="3">
        <v>0</v>
      </c>
      <c r="X20" s="3"/>
      <c r="Y20" s="3">
        <v>312147</v>
      </c>
      <c r="Z20" s="3"/>
      <c r="AA20" s="3">
        <v>5450546</v>
      </c>
      <c r="AB20" s="3"/>
      <c r="AC20" s="3">
        <v>2977140</v>
      </c>
      <c r="AD20" s="3"/>
      <c r="AE20" s="27">
        <f t="shared" si="5"/>
        <v>9817255</v>
      </c>
      <c r="AF20" s="3"/>
      <c r="AG20" s="3">
        <f t="shared" si="1"/>
        <v>0</v>
      </c>
      <c r="AJ20" s="3"/>
      <c r="AK20" s="3" t="str">
        <f t="shared" si="2"/>
        <v>Butler Technology and Career Development</v>
      </c>
      <c r="AL20" s="20" t="str">
        <f>GenExp!A20</f>
        <v>Butler Technology and Career Development</v>
      </c>
      <c r="AM20" s="20" t="b">
        <f t="shared" si="3"/>
        <v>1</v>
      </c>
      <c r="AO20" s="20" t="str">
        <f t="shared" si="4"/>
        <v>Butler</v>
      </c>
      <c r="AP20" s="20" t="b">
        <f>GenExp!C20=C20</f>
        <v>1</v>
      </c>
    </row>
    <row r="21" spans="1:42" s="16" customFormat="1">
      <c r="A21" s="3" t="s">
        <v>291</v>
      </c>
      <c r="C21" s="16" t="s">
        <v>176</v>
      </c>
      <c r="E21" s="16">
        <v>51201</v>
      </c>
      <c r="G21" s="3">
        <f>5110616+5252</f>
        <v>5115868</v>
      </c>
      <c r="H21" s="3"/>
      <c r="I21" s="3">
        <v>0</v>
      </c>
      <c r="J21" s="3"/>
      <c r="K21" s="8">
        <f>+M21-I21-G21</f>
        <v>10096934</v>
      </c>
      <c r="L21" s="3"/>
      <c r="M21" s="3">
        <v>15212802</v>
      </c>
      <c r="N21" s="3"/>
      <c r="O21" s="8">
        <f>+S21-Q21</f>
        <v>1483949</v>
      </c>
      <c r="P21" s="3"/>
      <c r="Q21" s="3">
        <v>8534641</v>
      </c>
      <c r="R21" s="3"/>
      <c r="S21" s="3">
        <v>10018590</v>
      </c>
      <c r="T21" s="3"/>
      <c r="U21" s="3">
        <v>69620</v>
      </c>
      <c r="V21" s="3"/>
      <c r="W21" s="3">
        <v>2088554</v>
      </c>
      <c r="X21" s="3"/>
      <c r="Y21" s="3">
        <v>146175</v>
      </c>
      <c r="Z21" s="3"/>
      <c r="AA21" s="3">
        <v>470263</v>
      </c>
      <c r="AB21" s="3"/>
      <c r="AC21" s="3">
        <v>2419600</v>
      </c>
      <c r="AD21" s="3"/>
      <c r="AE21" s="27">
        <f>+AA21+Y21+U21+W21+AC21</f>
        <v>5194212</v>
      </c>
      <c r="AF21" s="3"/>
      <c r="AG21" s="3">
        <f>+G21+I21+K21-O21-Q21-AA21-Y21-U21-W21-AC21</f>
        <v>0</v>
      </c>
      <c r="AJ21" s="3"/>
      <c r="AK21" s="3" t="str">
        <f>A21</f>
        <v>Career and Technology Education Centers of Licking County</v>
      </c>
      <c r="AL21" s="20" t="str">
        <f>GenExp!A21</f>
        <v>Career and Technology Education Centers of Licking County</v>
      </c>
      <c r="AM21" s="20" t="b">
        <f>AK21=AL21</f>
        <v>1</v>
      </c>
      <c r="AO21" s="20" t="str">
        <f>C21</f>
        <v>Licking</v>
      </c>
      <c r="AP21" s="20" t="b">
        <f>GenExp!C21=C21</f>
        <v>1</v>
      </c>
    </row>
    <row r="22" spans="1:42" s="66" customFormat="1" hidden="1">
      <c r="A22" s="65" t="s">
        <v>289</v>
      </c>
      <c r="C22" s="66" t="s">
        <v>220</v>
      </c>
      <c r="E22" s="66">
        <v>63511</v>
      </c>
      <c r="G22" s="65"/>
      <c r="H22" s="65"/>
      <c r="I22" s="65"/>
      <c r="J22" s="65"/>
      <c r="K22" s="70">
        <f t="shared" si="6"/>
        <v>0</v>
      </c>
      <c r="L22" s="65"/>
      <c r="M22" s="65"/>
      <c r="N22" s="65"/>
      <c r="O22" s="70">
        <f t="shared" si="0"/>
        <v>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73">
        <f t="shared" si="5"/>
        <v>0</v>
      </c>
      <c r="AF22" s="65"/>
      <c r="AG22" s="65">
        <f t="shared" si="1"/>
        <v>0</v>
      </c>
      <c r="AJ22" s="66" t="s">
        <v>304</v>
      </c>
      <c r="AK22" s="65" t="str">
        <f t="shared" si="2"/>
        <v>Central Ohio JVSD- now Tolles Career &amp; Technical Center since 2005</v>
      </c>
      <c r="AL22" s="68" t="str">
        <f>GenExp!A22</f>
        <v>Central Ohio JVSD- now Tolles Career &amp; Technical Center since 2005</v>
      </c>
      <c r="AM22" s="68" t="b">
        <f t="shared" si="3"/>
        <v>1</v>
      </c>
      <c r="AO22" s="68" t="str">
        <f t="shared" si="4"/>
        <v>Madison</v>
      </c>
      <c r="AP22" s="68" t="b">
        <f>GenExp!C22=C22</f>
        <v>1</v>
      </c>
    </row>
    <row r="23" spans="1:42" s="16" customFormat="1">
      <c r="A23" s="3" t="s">
        <v>288</v>
      </c>
      <c r="C23" s="16" t="s">
        <v>159</v>
      </c>
      <c r="E23" s="16">
        <v>50906</v>
      </c>
      <c r="G23" s="3">
        <v>6864212</v>
      </c>
      <c r="H23" s="3"/>
      <c r="I23" s="3">
        <v>0</v>
      </c>
      <c r="J23" s="3"/>
      <c r="K23" s="8">
        <f t="shared" si="6"/>
        <v>2269711</v>
      </c>
      <c r="L23" s="3"/>
      <c r="M23" s="3">
        <v>9133923</v>
      </c>
      <c r="N23" s="3"/>
      <c r="O23" s="8">
        <f t="shared" si="0"/>
        <v>401710</v>
      </c>
      <c r="P23" s="3"/>
      <c r="Q23" s="3">
        <f>300146+1894609</f>
        <v>2194755</v>
      </c>
      <c r="R23" s="3"/>
      <c r="S23" s="3">
        <v>2596465</v>
      </c>
      <c r="T23" s="3"/>
      <c r="U23" s="3">
        <v>2386</v>
      </c>
      <c r="V23" s="3"/>
      <c r="W23" s="3">
        <f>502238+39952+1450</f>
        <v>543640</v>
      </c>
      <c r="X23" s="3"/>
      <c r="Y23" s="3">
        <v>2720623</v>
      </c>
      <c r="Z23" s="3"/>
      <c r="AA23" s="3">
        <f>7093+27921+600+81+36750</f>
        <v>72445</v>
      </c>
      <c r="AB23" s="3"/>
      <c r="AC23" s="3">
        <v>3198364</v>
      </c>
      <c r="AD23" s="3"/>
      <c r="AE23" s="27">
        <f t="shared" si="5"/>
        <v>6537458</v>
      </c>
      <c r="AF23" s="3"/>
      <c r="AG23" s="3">
        <f t="shared" si="1"/>
        <v>0</v>
      </c>
      <c r="AJ23" s="3"/>
      <c r="AK23" s="3" t="str">
        <f t="shared" si="2"/>
        <v>Columbiana County Career &amp; Technical Center</v>
      </c>
      <c r="AL23" s="20" t="str">
        <f>GenExp!A23</f>
        <v>Columbiana County Career &amp; Technical Center</v>
      </c>
      <c r="AM23" s="20" t="b">
        <f t="shared" si="3"/>
        <v>1</v>
      </c>
      <c r="AO23" s="20" t="str">
        <f t="shared" si="4"/>
        <v>Columbiana</v>
      </c>
      <c r="AP23" s="20" t="b">
        <f>GenExp!C23=C23</f>
        <v>1</v>
      </c>
    </row>
    <row r="24" spans="1:42" s="16" customFormat="1">
      <c r="A24" s="3" t="s">
        <v>253</v>
      </c>
      <c r="C24" s="16" t="s">
        <v>213</v>
      </c>
      <c r="E24" s="16">
        <v>65227</v>
      </c>
      <c r="G24" s="3">
        <v>1018940</v>
      </c>
      <c r="H24" s="3"/>
      <c r="I24" s="3">
        <v>0</v>
      </c>
      <c r="J24" s="3"/>
      <c r="K24" s="8">
        <f t="shared" si="6"/>
        <v>1409582</v>
      </c>
      <c r="L24" s="3"/>
      <c r="M24" s="3">
        <v>2428522</v>
      </c>
      <c r="N24" s="3"/>
      <c r="O24" s="8">
        <f t="shared" si="0"/>
        <v>245349</v>
      </c>
      <c r="P24" s="3"/>
      <c r="Q24" s="3">
        <v>1304638</v>
      </c>
      <c r="R24" s="3"/>
      <c r="S24" s="3">
        <v>1549987</v>
      </c>
      <c r="T24" s="3"/>
      <c r="U24" s="3">
        <v>25497</v>
      </c>
      <c r="V24" s="3"/>
      <c r="W24" s="3">
        <v>99499</v>
      </c>
      <c r="X24" s="3"/>
      <c r="Y24" s="3">
        <v>0</v>
      </c>
      <c r="Z24" s="3"/>
      <c r="AA24" s="3">
        <v>24122</v>
      </c>
      <c r="AB24" s="3"/>
      <c r="AC24" s="3">
        <v>729417</v>
      </c>
      <c r="AD24" s="3"/>
      <c r="AE24" s="27">
        <f t="shared" si="5"/>
        <v>878535</v>
      </c>
      <c r="AF24" s="3"/>
      <c r="AG24" s="3">
        <f t="shared" si="1"/>
        <v>0</v>
      </c>
      <c r="AJ24" s="3"/>
      <c r="AK24" s="3" t="str">
        <f t="shared" si="2"/>
        <v>Coshocton County Career Center</v>
      </c>
      <c r="AL24" s="20" t="str">
        <f>GenExp!A24</f>
        <v>Coshocton County Career Center</v>
      </c>
      <c r="AM24" s="20" t="b">
        <f t="shared" si="3"/>
        <v>1</v>
      </c>
      <c r="AO24" s="20" t="str">
        <f t="shared" si="4"/>
        <v>Coshocton</v>
      </c>
      <c r="AP24" s="20" t="b">
        <f>GenExp!C24=C24</f>
        <v>1</v>
      </c>
    </row>
    <row r="25" spans="1:42" s="16" customFormat="1">
      <c r="A25" s="3" t="s">
        <v>251</v>
      </c>
      <c r="C25" s="16" t="s">
        <v>160</v>
      </c>
      <c r="E25" s="16">
        <v>50922</v>
      </c>
      <c r="G25" s="3">
        <f>8451545+6408626</f>
        <v>14860171</v>
      </c>
      <c r="H25" s="3"/>
      <c r="I25" s="3">
        <v>0</v>
      </c>
      <c r="J25" s="3"/>
      <c r="K25" s="8">
        <f t="shared" si="6"/>
        <v>11606831</v>
      </c>
      <c r="L25" s="3"/>
      <c r="M25" s="3">
        <v>26467002</v>
      </c>
      <c r="N25" s="3"/>
      <c r="O25" s="8">
        <f t="shared" si="0"/>
        <v>2309824</v>
      </c>
      <c r="P25" s="3"/>
      <c r="Q25" s="3">
        <f>1044102+8944885</f>
        <v>9988987</v>
      </c>
      <c r="R25" s="3"/>
      <c r="S25" s="3">
        <v>12298811</v>
      </c>
      <c r="T25" s="3"/>
      <c r="U25" s="3">
        <f>21740+19123</f>
        <v>40863</v>
      </c>
      <c r="V25" s="3"/>
      <c r="W25" s="3">
        <f>110+8910+6402</f>
        <v>15422</v>
      </c>
      <c r="X25" s="3"/>
      <c r="Y25" s="3">
        <f>386222+7898+118479+33000</f>
        <v>545599</v>
      </c>
      <c r="Z25" s="3"/>
      <c r="AA25" s="3">
        <f>334711+811099+72033+19983+91562</f>
        <v>1329388</v>
      </c>
      <c r="AB25" s="3"/>
      <c r="AC25" s="3">
        <v>12236919</v>
      </c>
      <c r="AD25" s="3"/>
      <c r="AE25" s="27">
        <f t="shared" si="5"/>
        <v>14168191</v>
      </c>
      <c r="AF25" s="3"/>
      <c r="AG25" s="3">
        <f t="shared" si="1"/>
        <v>0</v>
      </c>
      <c r="AJ25" s="3"/>
      <c r="AK25" s="3" t="str">
        <f t="shared" si="2"/>
        <v>Cuyahoga Valley Career Center</v>
      </c>
      <c r="AL25" s="20" t="str">
        <f>GenExp!A25</f>
        <v>Cuyahoga Valley Career Center</v>
      </c>
      <c r="AM25" s="20" t="b">
        <f t="shared" si="3"/>
        <v>1</v>
      </c>
      <c r="AO25" s="20" t="str">
        <f t="shared" si="4"/>
        <v>Cuyahoga</v>
      </c>
      <c r="AP25" s="20" t="b">
        <f>GenExp!C25=C25</f>
        <v>1</v>
      </c>
    </row>
    <row r="26" spans="1:42" s="16" customFormat="1">
      <c r="A26" s="3" t="s">
        <v>250</v>
      </c>
      <c r="C26" s="16" t="s">
        <v>162</v>
      </c>
      <c r="E26" s="16">
        <v>50989</v>
      </c>
      <c r="G26" s="3">
        <v>23978692</v>
      </c>
      <c r="H26" s="3"/>
      <c r="I26" s="3">
        <v>0</v>
      </c>
      <c r="J26" s="3"/>
      <c r="K26" s="8">
        <f t="shared" si="6"/>
        <v>11319780</v>
      </c>
      <c r="L26" s="3"/>
      <c r="M26" s="3">
        <v>35298472</v>
      </c>
      <c r="N26" s="3"/>
      <c r="O26" s="8">
        <f t="shared" si="0"/>
        <v>1345905</v>
      </c>
      <c r="P26" s="3"/>
      <c r="Q26" s="3">
        <f>507432+9016053</f>
        <v>9523485</v>
      </c>
      <c r="R26" s="3"/>
      <c r="S26" s="3">
        <v>10869390</v>
      </c>
      <c r="T26" s="3"/>
      <c r="U26" s="3">
        <f>49039+30231</f>
        <v>79270</v>
      </c>
      <c r="V26" s="3"/>
      <c r="W26" s="3">
        <f>4847302+221007+5814+389+18439</f>
        <v>5092951</v>
      </c>
      <c r="X26" s="3"/>
      <c r="Y26" s="3">
        <f>50000+800000</f>
        <v>850000</v>
      </c>
      <c r="Z26" s="3"/>
      <c r="AA26" s="3">
        <f>49365+182151+42331+88241</f>
        <v>362088</v>
      </c>
      <c r="AB26" s="3"/>
      <c r="AC26" s="3">
        <v>18044773</v>
      </c>
      <c r="AD26" s="3"/>
      <c r="AE26" s="27">
        <f t="shared" si="5"/>
        <v>24429082</v>
      </c>
      <c r="AF26" s="3"/>
      <c r="AG26" s="3">
        <f t="shared" si="1"/>
        <v>0</v>
      </c>
      <c r="AJ26" s="3"/>
      <c r="AK26" s="3" t="str">
        <f t="shared" si="2"/>
        <v>Delaware Area Career Center</v>
      </c>
      <c r="AL26" s="20" t="str">
        <f>GenExp!A26</f>
        <v>Delaware Area Career Center</v>
      </c>
      <c r="AM26" s="20" t="b">
        <f t="shared" si="3"/>
        <v>1</v>
      </c>
      <c r="AO26" s="20" t="str">
        <f t="shared" si="4"/>
        <v>Delaware</v>
      </c>
      <c r="AP26" s="20" t="b">
        <f>GenExp!C26=C26</f>
        <v>1</v>
      </c>
    </row>
    <row r="27" spans="1:42" s="16" customFormat="1">
      <c r="A27" s="3" t="s">
        <v>307</v>
      </c>
      <c r="C27" s="16" t="s">
        <v>165</v>
      </c>
      <c r="E27" s="16">
        <v>51003</v>
      </c>
      <c r="G27" s="3">
        <v>17654253</v>
      </c>
      <c r="H27" s="3"/>
      <c r="I27" s="3">
        <v>27745</v>
      </c>
      <c r="J27" s="3"/>
      <c r="K27" s="8">
        <f t="shared" si="6"/>
        <v>14733211</v>
      </c>
      <c r="L27" s="3"/>
      <c r="M27" s="3">
        <v>32415209</v>
      </c>
      <c r="N27" s="3"/>
      <c r="O27" s="8">
        <f t="shared" si="0"/>
        <v>2957326</v>
      </c>
      <c r="P27" s="3"/>
      <c r="Q27" s="3">
        <v>10260013</v>
      </c>
      <c r="R27" s="3"/>
      <c r="S27" s="3">
        <v>13217339</v>
      </c>
      <c r="T27" s="3"/>
      <c r="U27" s="3">
        <v>0</v>
      </c>
      <c r="V27" s="3"/>
      <c r="W27" s="3">
        <v>303</v>
      </c>
      <c r="X27" s="3"/>
      <c r="Y27" s="3">
        <v>0</v>
      </c>
      <c r="Z27" s="3"/>
      <c r="AA27" s="3">
        <v>2911383</v>
      </c>
      <c r="AB27" s="3"/>
      <c r="AC27" s="3">
        <v>16286184</v>
      </c>
      <c r="AD27" s="3"/>
      <c r="AE27" s="27">
        <f t="shared" si="5"/>
        <v>19197870</v>
      </c>
      <c r="AF27" s="3"/>
      <c r="AG27" s="3">
        <f t="shared" si="1"/>
        <v>0</v>
      </c>
      <c r="AJ27" s="3"/>
      <c r="AK27" s="3" t="str">
        <f t="shared" si="2"/>
        <v>Eastland-Fairfield Career and Tech Center</v>
      </c>
      <c r="AL27" s="20" t="str">
        <f>GenExp!A27</f>
        <v>Eastland-Fairfield Career and Tech Center</v>
      </c>
      <c r="AM27" s="20" t="b">
        <f t="shared" si="3"/>
        <v>1</v>
      </c>
      <c r="AO27" s="20" t="str">
        <f t="shared" si="4"/>
        <v>Franklin</v>
      </c>
      <c r="AP27" s="20" t="b">
        <f>GenExp!C27=C27</f>
        <v>1</v>
      </c>
    </row>
    <row r="28" spans="1:42" s="16" customFormat="1">
      <c r="A28" s="3" t="s">
        <v>252</v>
      </c>
      <c r="C28" s="16" t="s">
        <v>163</v>
      </c>
      <c r="E28" s="16">
        <v>51029</v>
      </c>
      <c r="G28" s="3">
        <v>5462855</v>
      </c>
      <c r="H28" s="3"/>
      <c r="I28" s="3">
        <v>0</v>
      </c>
      <c r="J28" s="3"/>
      <c r="K28" s="8">
        <f t="shared" si="6"/>
        <v>7836484</v>
      </c>
      <c r="L28" s="3"/>
      <c r="M28" s="3">
        <v>13299339</v>
      </c>
      <c r="N28" s="3"/>
      <c r="O28" s="8">
        <f t="shared" si="0"/>
        <v>1558363</v>
      </c>
      <c r="P28" s="3"/>
      <c r="Q28" s="3">
        <f>671129+5659742</f>
        <v>6330871</v>
      </c>
      <c r="R28" s="3"/>
      <c r="S28" s="3">
        <v>7889234</v>
      </c>
      <c r="T28" s="3"/>
      <c r="U28" s="3">
        <f>95828+24420</f>
        <v>120248</v>
      </c>
      <c r="V28" s="3"/>
      <c r="W28" s="3">
        <v>3743</v>
      </c>
      <c r="X28" s="3"/>
      <c r="Y28" s="3">
        <f>227280+8989</f>
        <v>236269</v>
      </c>
      <c r="Z28" s="3"/>
      <c r="AA28" s="3">
        <f>15210+53157+18869+71475</f>
        <v>158711</v>
      </c>
      <c r="AB28" s="3"/>
      <c r="AC28" s="3">
        <v>4891134</v>
      </c>
      <c r="AD28" s="3"/>
      <c r="AE28" s="27">
        <f t="shared" si="5"/>
        <v>5410105</v>
      </c>
      <c r="AF28" s="3"/>
      <c r="AG28" s="3">
        <f t="shared" si="1"/>
        <v>0</v>
      </c>
      <c r="AJ28" s="3" t="s">
        <v>383</v>
      </c>
      <c r="AK28" s="3" t="str">
        <f t="shared" si="2"/>
        <v>Ehove Career Center</v>
      </c>
      <c r="AL28" s="20" t="str">
        <f>GenExp!A28</f>
        <v>Ehove Career Center</v>
      </c>
      <c r="AM28" s="20" t="b">
        <f t="shared" si="3"/>
        <v>1</v>
      </c>
      <c r="AO28" s="20" t="str">
        <f t="shared" si="4"/>
        <v>Erie</v>
      </c>
      <c r="AP28" s="20" t="b">
        <f>GenExp!C28=C28</f>
        <v>1</v>
      </c>
    </row>
    <row r="29" spans="1:42" s="16" customFormat="1">
      <c r="A29" s="3" t="s">
        <v>254</v>
      </c>
      <c r="C29" s="16" t="s">
        <v>215</v>
      </c>
      <c r="E29" s="16">
        <v>50963</v>
      </c>
      <c r="G29" s="3">
        <f>8605146+1845818</f>
        <v>10450964</v>
      </c>
      <c r="H29" s="3"/>
      <c r="I29" s="3">
        <v>725000</v>
      </c>
      <c r="J29" s="3"/>
      <c r="K29" s="8">
        <f t="shared" si="6"/>
        <v>5948919</v>
      </c>
      <c r="L29" s="3"/>
      <c r="M29" s="3">
        <v>17124883</v>
      </c>
      <c r="N29" s="3"/>
      <c r="O29" s="8">
        <f t="shared" si="0"/>
        <v>1598069</v>
      </c>
      <c r="P29" s="3"/>
      <c r="Q29" s="3">
        <v>5073296</v>
      </c>
      <c r="R29" s="3"/>
      <c r="S29" s="3">
        <v>6671365</v>
      </c>
      <c r="T29" s="3"/>
      <c r="U29" s="3">
        <v>218689</v>
      </c>
      <c r="V29" s="3"/>
      <c r="W29" s="3">
        <v>2864613</v>
      </c>
      <c r="X29" s="3"/>
      <c r="Y29" s="3">
        <v>0</v>
      </c>
      <c r="Z29" s="3"/>
      <c r="AA29" s="3">
        <v>74045</v>
      </c>
      <c r="AB29" s="3"/>
      <c r="AC29" s="3">
        <v>7296171</v>
      </c>
      <c r="AD29" s="3"/>
      <c r="AE29" s="27">
        <f t="shared" si="5"/>
        <v>10453518</v>
      </c>
      <c r="AF29" s="3"/>
      <c r="AG29" s="3">
        <f t="shared" si="1"/>
        <v>0</v>
      </c>
      <c r="AJ29" s="3"/>
      <c r="AK29" s="3" t="str">
        <f t="shared" si="2"/>
        <v>Four County Career Center</v>
      </c>
      <c r="AL29" s="20" t="str">
        <f>GenExp!A29</f>
        <v>Four County Career Center</v>
      </c>
      <c r="AM29" s="20" t="b">
        <f t="shared" si="3"/>
        <v>1</v>
      </c>
      <c r="AO29" s="20" t="str">
        <f t="shared" si="4"/>
        <v>Henry</v>
      </c>
      <c r="AP29" s="20" t="b">
        <f>GenExp!C29=C29</f>
        <v>1</v>
      </c>
    </row>
    <row r="30" spans="1:42" s="16" customFormat="1">
      <c r="A30" s="3" t="s">
        <v>214</v>
      </c>
      <c r="C30" s="16" t="s">
        <v>168</v>
      </c>
      <c r="E30" s="16">
        <v>62067</v>
      </c>
      <c r="G30" s="3">
        <v>6648674</v>
      </c>
      <c r="H30" s="3"/>
      <c r="I30" s="3">
        <v>32757</v>
      </c>
      <c r="J30" s="3"/>
      <c r="K30" s="8">
        <f t="shared" si="6"/>
        <v>3416869</v>
      </c>
      <c r="L30" s="3"/>
      <c r="M30" s="3">
        <v>10098300</v>
      </c>
      <c r="N30" s="3"/>
      <c r="O30" s="8">
        <f t="shared" si="0"/>
        <v>1025049</v>
      </c>
      <c r="P30" s="3"/>
      <c r="Q30" s="3">
        <v>3043200</v>
      </c>
      <c r="R30" s="3"/>
      <c r="S30" s="3">
        <v>4068249</v>
      </c>
      <c r="T30" s="3"/>
      <c r="U30" s="3">
        <v>41548</v>
      </c>
      <c r="V30" s="3"/>
      <c r="W30" s="3">
        <v>2091240</v>
      </c>
      <c r="X30" s="3"/>
      <c r="Y30" s="3">
        <v>439</v>
      </c>
      <c r="Z30" s="3"/>
      <c r="AA30" s="3">
        <v>2951007</v>
      </c>
      <c r="AB30" s="3"/>
      <c r="AC30" s="3">
        <v>945817</v>
      </c>
      <c r="AD30" s="3"/>
      <c r="AE30" s="27">
        <f t="shared" si="5"/>
        <v>6030051</v>
      </c>
      <c r="AF30" s="3"/>
      <c r="AG30" s="3">
        <f t="shared" si="1"/>
        <v>0</v>
      </c>
      <c r="AJ30" s="3"/>
      <c r="AK30" s="3" t="str">
        <f t="shared" si="2"/>
        <v>Gallia-Jackson-Vinton JVSD</v>
      </c>
      <c r="AL30" s="20" t="str">
        <f>GenExp!A30</f>
        <v>Gallia-Jackson-Vinton JVSD</v>
      </c>
      <c r="AM30" s="20" t="b">
        <f t="shared" si="3"/>
        <v>1</v>
      </c>
      <c r="AO30" s="20" t="str">
        <f t="shared" si="4"/>
        <v>Gallia</v>
      </c>
      <c r="AP30" s="20" t="b">
        <f>GenExp!C30=C30</f>
        <v>1</v>
      </c>
    </row>
    <row r="31" spans="1:42" s="16" customFormat="1">
      <c r="A31" s="3" t="s">
        <v>327</v>
      </c>
      <c r="C31" s="16" t="s">
        <v>171</v>
      </c>
      <c r="E31" s="16">
        <v>51060</v>
      </c>
      <c r="G31" s="3">
        <v>36850290</v>
      </c>
      <c r="H31" s="3"/>
      <c r="I31" s="3">
        <v>609682</v>
      </c>
      <c r="J31" s="3"/>
      <c r="K31" s="8">
        <f t="shared" si="6"/>
        <v>40167561</v>
      </c>
      <c r="L31" s="3"/>
      <c r="M31" s="3">
        <v>77627533</v>
      </c>
      <c r="N31" s="3"/>
      <c r="O31" s="8">
        <f t="shared" si="0"/>
        <v>8144766</v>
      </c>
      <c r="P31" s="3"/>
      <c r="Q31" s="3">
        <v>26169549</v>
      </c>
      <c r="R31" s="3"/>
      <c r="S31" s="3">
        <v>34314315</v>
      </c>
      <c r="T31" s="3"/>
      <c r="U31" s="3">
        <v>26628</v>
      </c>
      <c r="V31" s="3"/>
      <c r="W31" s="3">
        <v>2300352</v>
      </c>
      <c r="X31" s="3"/>
      <c r="Y31" s="3">
        <v>4046284</v>
      </c>
      <c r="Z31" s="3"/>
      <c r="AA31" s="3">
        <v>941951</v>
      </c>
      <c r="AB31" s="3"/>
      <c r="AC31" s="3">
        <v>35998003</v>
      </c>
      <c r="AD31" s="3"/>
      <c r="AE31" s="27">
        <f t="shared" si="5"/>
        <v>43313218</v>
      </c>
      <c r="AF31" s="3"/>
      <c r="AG31" s="3">
        <f t="shared" si="1"/>
        <v>0</v>
      </c>
      <c r="AJ31" s="3" t="s">
        <v>383</v>
      </c>
      <c r="AK31" s="3" t="str">
        <f t="shared" si="2"/>
        <v>Great Oaks Inst of Technology &amp; Career Development</v>
      </c>
      <c r="AL31" s="20" t="str">
        <f>GenExp!A31</f>
        <v>Great Oaks Inst of Technology &amp; Career Development</v>
      </c>
      <c r="AM31" s="20" t="b">
        <f t="shared" si="3"/>
        <v>1</v>
      </c>
      <c r="AO31" s="20" t="str">
        <f t="shared" si="4"/>
        <v>Hamilton</v>
      </c>
      <c r="AP31" s="20" t="b">
        <f>GenExp!C31=C31</f>
        <v>1</v>
      </c>
    </row>
    <row r="32" spans="1:42" s="16" customFormat="1">
      <c r="A32" s="3" t="s">
        <v>386</v>
      </c>
      <c r="C32" s="16" t="s">
        <v>170</v>
      </c>
      <c r="E32" s="16">
        <v>51045</v>
      </c>
      <c r="G32" s="3">
        <v>6427231</v>
      </c>
      <c r="H32" s="3"/>
      <c r="I32" s="3">
        <v>0</v>
      </c>
      <c r="J32" s="3"/>
      <c r="K32" s="8">
        <f t="shared" si="6"/>
        <v>9080082</v>
      </c>
      <c r="L32" s="3"/>
      <c r="M32" s="3">
        <v>15507313</v>
      </c>
      <c r="N32" s="3"/>
      <c r="O32" s="8">
        <f t="shared" si="0"/>
        <v>2005986</v>
      </c>
      <c r="P32" s="3"/>
      <c r="Q32" s="3">
        <v>8093858</v>
      </c>
      <c r="R32" s="3"/>
      <c r="S32" s="3">
        <v>10099844</v>
      </c>
      <c r="T32" s="3"/>
      <c r="U32" s="3">
        <v>36664</v>
      </c>
      <c r="V32" s="3"/>
      <c r="W32" s="3">
        <v>1302639</v>
      </c>
      <c r="X32" s="3"/>
      <c r="Y32" s="3">
        <v>116636</v>
      </c>
      <c r="Z32" s="3"/>
      <c r="AA32" s="3">
        <v>14579</v>
      </c>
      <c r="AB32" s="3"/>
      <c r="AC32" s="3">
        <v>3936951</v>
      </c>
      <c r="AD32" s="3"/>
      <c r="AE32" s="27">
        <f t="shared" si="5"/>
        <v>5407469</v>
      </c>
      <c r="AF32" s="3"/>
      <c r="AG32" s="3">
        <f t="shared" si="1"/>
        <v>0</v>
      </c>
      <c r="AJ32" s="3"/>
      <c r="AK32" s="3" t="str">
        <f t="shared" si="2"/>
        <v>Greene County VSD</v>
      </c>
      <c r="AL32" s="20" t="str">
        <f>GenExp!A32</f>
        <v>Greene County VSD</v>
      </c>
      <c r="AM32" s="20" t="b">
        <f t="shared" si="3"/>
        <v>1</v>
      </c>
      <c r="AO32" s="20" t="str">
        <f t="shared" si="4"/>
        <v>Greene</v>
      </c>
      <c r="AP32" s="20" t="b">
        <f>GenExp!C32=C32</f>
        <v>1</v>
      </c>
    </row>
    <row r="33" spans="1:42" s="16" customFormat="1">
      <c r="A33" s="3" t="s">
        <v>216</v>
      </c>
      <c r="C33" s="16" t="s">
        <v>173</v>
      </c>
      <c r="E33" s="16">
        <v>51128</v>
      </c>
      <c r="G33" s="3">
        <v>133491</v>
      </c>
      <c r="H33" s="3"/>
      <c r="I33" s="3">
        <v>17604</v>
      </c>
      <c r="J33" s="3"/>
      <c r="K33" s="8">
        <f t="shared" si="6"/>
        <v>1817388</v>
      </c>
      <c r="L33" s="3"/>
      <c r="M33" s="3">
        <v>1968483</v>
      </c>
      <c r="N33" s="3"/>
      <c r="O33" s="8">
        <f t="shared" si="0"/>
        <v>493588</v>
      </c>
      <c r="P33" s="3"/>
      <c r="Q33" s="3">
        <v>1588019</v>
      </c>
      <c r="R33" s="3"/>
      <c r="S33" s="3">
        <v>2081607</v>
      </c>
      <c r="T33" s="3"/>
      <c r="U33" s="3">
        <f>10929+83375</f>
        <v>94304</v>
      </c>
      <c r="V33" s="3"/>
      <c r="W33" s="3">
        <f>69161+17604+13+1465+18092+11337</f>
        <v>117672</v>
      </c>
      <c r="X33" s="3"/>
      <c r="Y33" s="3">
        <v>0</v>
      </c>
      <c r="Z33" s="3"/>
      <c r="AA33" s="3">
        <v>0</v>
      </c>
      <c r="AB33" s="3"/>
      <c r="AC33" s="3">
        <v>-325100</v>
      </c>
      <c r="AD33" s="3"/>
      <c r="AE33" s="27">
        <f t="shared" si="5"/>
        <v>-113124</v>
      </c>
      <c r="AF33" s="3"/>
      <c r="AG33" s="3">
        <f t="shared" si="1"/>
        <v>0</v>
      </c>
      <c r="AJ33" s="3"/>
      <c r="AK33" s="3" t="str">
        <f t="shared" si="2"/>
        <v>Jefferson County JVSD</v>
      </c>
      <c r="AL33" s="20" t="str">
        <f>GenExp!A33</f>
        <v>Jefferson County JVSD</v>
      </c>
      <c r="AM33" s="20" t="b">
        <f t="shared" si="3"/>
        <v>1</v>
      </c>
      <c r="AO33" s="20" t="str">
        <f t="shared" si="4"/>
        <v>Jefferson</v>
      </c>
      <c r="AP33" s="20" t="b">
        <f>GenExp!C33=C33</f>
        <v>1</v>
      </c>
    </row>
    <row r="34" spans="1:42" s="16" customFormat="1">
      <c r="A34" s="3" t="s">
        <v>255</v>
      </c>
      <c r="C34" s="16" t="s">
        <v>174</v>
      </c>
      <c r="E34" s="16">
        <v>51144</v>
      </c>
      <c r="G34" s="3">
        <v>13110465</v>
      </c>
      <c r="H34" s="3"/>
      <c r="I34" s="3">
        <v>0</v>
      </c>
      <c r="J34" s="3"/>
      <c r="K34" s="8">
        <f t="shared" si="6"/>
        <v>4490048</v>
      </c>
      <c r="L34" s="3"/>
      <c r="M34" s="3">
        <v>17600513</v>
      </c>
      <c r="N34" s="3"/>
      <c r="O34" s="8">
        <f t="shared" si="0"/>
        <v>2195203</v>
      </c>
      <c r="P34" s="3"/>
      <c r="Q34" s="3">
        <v>2063895</v>
      </c>
      <c r="R34" s="3"/>
      <c r="S34" s="3">
        <v>4259098</v>
      </c>
      <c r="T34" s="3"/>
      <c r="U34" s="3">
        <v>42850</v>
      </c>
      <c r="V34" s="3"/>
      <c r="W34" s="3">
        <v>2566335</v>
      </c>
      <c r="X34" s="3"/>
      <c r="Y34" s="3">
        <v>39773</v>
      </c>
      <c r="Z34" s="3"/>
      <c r="AA34" s="3">
        <v>278887</v>
      </c>
      <c r="AB34" s="3"/>
      <c r="AC34" s="3">
        <v>10413570</v>
      </c>
      <c r="AD34" s="3"/>
      <c r="AE34" s="27">
        <f t="shared" si="5"/>
        <v>13341415</v>
      </c>
      <c r="AF34" s="3"/>
      <c r="AG34" s="3">
        <f t="shared" si="1"/>
        <v>0</v>
      </c>
      <c r="AJ34" s="3"/>
      <c r="AK34" s="3" t="str">
        <f t="shared" si="2"/>
        <v>Knox County Career Center</v>
      </c>
      <c r="AL34" s="20" t="str">
        <f>GenExp!A34</f>
        <v>Knox County Career Center</v>
      </c>
      <c r="AM34" s="20" t="b">
        <f t="shared" si="3"/>
        <v>1</v>
      </c>
      <c r="AO34" s="20" t="str">
        <f t="shared" si="4"/>
        <v>Knox</v>
      </c>
      <c r="AP34" s="20" t="b">
        <f>GenExp!C34=C34</f>
        <v>1</v>
      </c>
    </row>
    <row r="35" spans="1:42" s="16" customFormat="1">
      <c r="A35" s="3" t="s">
        <v>217</v>
      </c>
      <c r="C35" s="16" t="s">
        <v>175</v>
      </c>
      <c r="E35" s="16">
        <v>51185</v>
      </c>
      <c r="G35" s="3">
        <v>13167762</v>
      </c>
      <c r="H35" s="3"/>
      <c r="I35" s="3">
        <v>49037</v>
      </c>
      <c r="J35" s="3"/>
      <c r="K35" s="8">
        <f t="shared" si="6"/>
        <v>15719888</v>
      </c>
      <c r="L35" s="3"/>
      <c r="M35" s="3">
        <v>28936687</v>
      </c>
      <c r="N35" s="3"/>
      <c r="O35" s="8">
        <f t="shared" si="0"/>
        <v>860447</v>
      </c>
      <c r="P35" s="3"/>
      <c r="Q35" s="3">
        <v>15397375</v>
      </c>
      <c r="R35" s="3"/>
      <c r="S35" s="3">
        <v>16257822</v>
      </c>
      <c r="T35" s="3"/>
      <c r="U35" s="3">
        <v>3273</v>
      </c>
      <c r="V35" s="3"/>
      <c r="W35" s="3">
        <v>10335113</v>
      </c>
      <c r="X35" s="3"/>
      <c r="Y35" s="3">
        <v>33429</v>
      </c>
      <c r="Z35" s="3"/>
      <c r="AA35" s="3">
        <v>32334</v>
      </c>
      <c r="AB35" s="3"/>
      <c r="AC35" s="3">
        <v>2274716</v>
      </c>
      <c r="AD35" s="3"/>
      <c r="AE35" s="27">
        <f t="shared" si="5"/>
        <v>12678865</v>
      </c>
      <c r="AF35" s="3"/>
      <c r="AG35" s="3">
        <f t="shared" si="1"/>
        <v>0</v>
      </c>
      <c r="AJ35" s="3"/>
      <c r="AK35" s="3" t="str">
        <f t="shared" si="2"/>
        <v>Lawrence County JVSD</v>
      </c>
      <c r="AL35" s="20" t="str">
        <f>GenExp!A35</f>
        <v>Lawrence County JVSD</v>
      </c>
      <c r="AM35" s="20" t="b">
        <f t="shared" si="3"/>
        <v>1</v>
      </c>
      <c r="AO35" s="20" t="str">
        <f t="shared" si="4"/>
        <v>Lawrence</v>
      </c>
      <c r="AP35" s="20" t="b">
        <f>GenExp!C35=C35</f>
        <v>1</v>
      </c>
    </row>
    <row r="36" spans="1:42" s="66" customFormat="1" hidden="1">
      <c r="A36" s="65" t="s">
        <v>308</v>
      </c>
      <c r="C36" s="66" t="s">
        <v>176</v>
      </c>
      <c r="E36" s="66">
        <v>47977</v>
      </c>
      <c r="G36" s="65"/>
      <c r="H36" s="65"/>
      <c r="I36" s="65"/>
      <c r="J36" s="65"/>
      <c r="K36" s="70">
        <f t="shared" si="6"/>
        <v>0</v>
      </c>
      <c r="L36" s="65"/>
      <c r="M36" s="65"/>
      <c r="N36" s="65"/>
      <c r="O36" s="70">
        <f t="shared" si="0"/>
        <v>0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73">
        <f t="shared" si="5"/>
        <v>0</v>
      </c>
      <c r="AG36" s="65">
        <f t="shared" si="1"/>
        <v>0</v>
      </c>
      <c r="AJ36" s="65" t="s">
        <v>389</v>
      </c>
      <c r="AK36" s="65" t="str">
        <f t="shared" si="2"/>
        <v>Licking Co Career &amp; Tech Center</v>
      </c>
      <c r="AL36" s="68" t="str">
        <f>GenExp!A36</f>
        <v>Licking Co Career &amp; Tech Center</v>
      </c>
      <c r="AM36" s="68" t="b">
        <f t="shared" si="3"/>
        <v>1</v>
      </c>
      <c r="AO36" s="68" t="str">
        <f t="shared" si="4"/>
        <v>Licking</v>
      </c>
      <c r="AP36" s="68" t="b">
        <f>GenExp!C36=C36</f>
        <v>1</v>
      </c>
    </row>
    <row r="37" spans="1:42" s="16" customFormat="1">
      <c r="A37" s="3" t="s">
        <v>219</v>
      </c>
      <c r="C37" s="16" t="s">
        <v>145</v>
      </c>
      <c r="E37" s="16">
        <v>51227</v>
      </c>
      <c r="G37" s="3">
        <v>9877110</v>
      </c>
      <c r="H37" s="3"/>
      <c r="I37" s="3">
        <v>0</v>
      </c>
      <c r="J37" s="3"/>
      <c r="K37" s="8">
        <f t="shared" si="6"/>
        <v>13218970</v>
      </c>
      <c r="L37" s="3"/>
      <c r="M37" s="3">
        <v>23096080</v>
      </c>
      <c r="N37" s="3"/>
      <c r="O37" s="8">
        <f t="shared" si="0"/>
        <v>3143970</v>
      </c>
      <c r="P37" s="3"/>
      <c r="Q37" s="3">
        <v>11816498</v>
      </c>
      <c r="R37" s="3"/>
      <c r="S37" s="3">
        <v>14960468</v>
      </c>
      <c r="T37" s="3"/>
      <c r="U37" s="3">
        <v>141614</v>
      </c>
      <c r="V37" s="3"/>
      <c r="W37" s="3">
        <v>1505853</v>
      </c>
      <c r="X37" s="3"/>
      <c r="Y37" s="3">
        <v>0</v>
      </c>
      <c r="Z37" s="3"/>
      <c r="AA37" s="3">
        <v>1082958</v>
      </c>
      <c r="AB37" s="3"/>
      <c r="AC37" s="3">
        <v>5405187</v>
      </c>
      <c r="AD37" s="3"/>
      <c r="AE37" s="27">
        <f t="shared" si="5"/>
        <v>8135612</v>
      </c>
      <c r="AF37" s="3"/>
      <c r="AG37" s="3">
        <f t="shared" si="1"/>
        <v>0</v>
      </c>
      <c r="AJ37" s="3" t="s">
        <v>383</v>
      </c>
      <c r="AK37" s="3" t="str">
        <f t="shared" si="2"/>
        <v>Lorain County JVSD</v>
      </c>
      <c r="AL37" s="20" t="str">
        <f>GenExp!A37</f>
        <v>Lorain County JVSD</v>
      </c>
      <c r="AM37" s="20" t="b">
        <f t="shared" si="3"/>
        <v>1</v>
      </c>
      <c r="AO37" s="20" t="str">
        <f t="shared" si="4"/>
        <v>Lorain</v>
      </c>
      <c r="AP37" s="20" t="b">
        <f>GenExp!C37=C37</f>
        <v>1</v>
      </c>
    </row>
    <row r="38" spans="1:42" s="16" customFormat="1">
      <c r="A38" s="3" t="s">
        <v>309</v>
      </c>
      <c r="C38" s="16" t="s">
        <v>179</v>
      </c>
      <c r="E38" s="16">
        <v>51243</v>
      </c>
      <c r="G38" s="3">
        <v>7373312</v>
      </c>
      <c r="H38" s="3"/>
      <c r="I38" s="3">
        <v>0</v>
      </c>
      <c r="J38" s="3"/>
      <c r="K38" s="8">
        <f t="shared" si="6"/>
        <v>21505365</v>
      </c>
      <c r="L38" s="3"/>
      <c r="M38" s="3">
        <v>28878677</v>
      </c>
      <c r="N38" s="3"/>
      <c r="O38" s="8">
        <f t="shared" si="0"/>
        <v>1403385</v>
      </c>
      <c r="P38" s="3"/>
      <c r="Q38" s="3">
        <v>7124563</v>
      </c>
      <c r="R38" s="3"/>
      <c r="S38" s="3">
        <v>8527948</v>
      </c>
      <c r="T38" s="3"/>
      <c r="U38" s="3">
        <v>33958</v>
      </c>
      <c r="V38" s="3"/>
      <c r="W38" s="3">
        <v>141144</v>
      </c>
      <c r="X38" s="3"/>
      <c r="Y38" s="3">
        <v>14200029</v>
      </c>
      <c r="Z38" s="3"/>
      <c r="AA38" s="3">
        <v>27793</v>
      </c>
      <c r="AB38" s="3"/>
      <c r="AC38" s="3">
        <v>5947805</v>
      </c>
      <c r="AD38" s="3"/>
      <c r="AE38" s="27">
        <f t="shared" si="5"/>
        <v>20350729</v>
      </c>
      <c r="AF38" s="3"/>
      <c r="AG38" s="3">
        <f t="shared" si="1"/>
        <v>0</v>
      </c>
      <c r="AJ38" s="3"/>
      <c r="AK38" s="3" t="str">
        <f t="shared" si="2"/>
        <v>Mahoning Co Career &amp; Tech Center</v>
      </c>
      <c r="AL38" s="20" t="str">
        <f>GenExp!A38</f>
        <v>Mahoning Co Career &amp; Tech Center</v>
      </c>
      <c r="AM38" s="20" t="b">
        <f t="shared" si="3"/>
        <v>1</v>
      </c>
      <c r="AO38" s="20" t="str">
        <f t="shared" si="4"/>
        <v>Mahoning</v>
      </c>
      <c r="AP38" s="20" t="b">
        <f>GenExp!C38=C38</f>
        <v>1</v>
      </c>
    </row>
    <row r="39" spans="1:42" s="16" customFormat="1">
      <c r="A39" s="3" t="s">
        <v>256</v>
      </c>
      <c r="C39" s="16" t="s">
        <v>190</v>
      </c>
      <c r="E39" s="16">
        <v>51391</v>
      </c>
      <c r="G39" s="3">
        <v>18527008</v>
      </c>
      <c r="H39" s="3"/>
      <c r="I39" s="3">
        <v>223362</v>
      </c>
      <c r="J39" s="3"/>
      <c r="K39" s="8">
        <f t="shared" si="6"/>
        <v>7203423</v>
      </c>
      <c r="L39" s="3"/>
      <c r="M39" s="3">
        <v>25953793</v>
      </c>
      <c r="N39" s="3"/>
      <c r="O39" s="8">
        <f t="shared" si="0"/>
        <v>1216929</v>
      </c>
      <c r="P39" s="3"/>
      <c r="Q39" s="3">
        <v>6320916</v>
      </c>
      <c r="R39" s="3"/>
      <c r="S39" s="3">
        <v>7537845</v>
      </c>
      <c r="T39" s="3"/>
      <c r="U39" s="3">
        <v>76368</v>
      </c>
      <c r="V39" s="3"/>
      <c r="W39" s="3">
        <v>66142</v>
      </c>
      <c r="X39" s="3"/>
      <c r="Y39" s="3">
        <v>420385</v>
      </c>
      <c r="Z39" s="3"/>
      <c r="AA39" s="3">
        <v>670924</v>
      </c>
      <c r="AB39" s="3"/>
      <c r="AC39" s="3">
        <v>17182129</v>
      </c>
      <c r="AD39" s="3"/>
      <c r="AE39" s="27">
        <f t="shared" si="5"/>
        <v>18415948</v>
      </c>
      <c r="AF39" s="3"/>
      <c r="AG39" s="3">
        <f t="shared" si="1"/>
        <v>0</v>
      </c>
      <c r="AJ39" s="3"/>
      <c r="AK39" s="3" t="str">
        <f t="shared" si="2"/>
        <v>Maplewood Career Center</v>
      </c>
      <c r="AL39" s="20" t="str">
        <f>GenExp!A39</f>
        <v>Maplewood Career Center</v>
      </c>
      <c r="AM39" s="20" t="b">
        <f t="shared" si="3"/>
        <v>1</v>
      </c>
      <c r="AO39" s="20" t="str">
        <f t="shared" si="4"/>
        <v>Portage</v>
      </c>
      <c r="AP39" s="20" t="b">
        <f>GenExp!C39=C39</f>
        <v>1</v>
      </c>
    </row>
    <row r="40" spans="1:42" s="16" customFormat="1">
      <c r="A40" s="3" t="s">
        <v>223</v>
      </c>
      <c r="C40" s="16" t="s">
        <v>181</v>
      </c>
      <c r="E40" s="16">
        <v>62109</v>
      </c>
      <c r="G40" s="3">
        <v>9167488</v>
      </c>
      <c r="H40" s="3"/>
      <c r="I40" s="3">
        <v>0</v>
      </c>
      <c r="J40" s="3"/>
      <c r="K40" s="8">
        <f t="shared" si="6"/>
        <v>8275112</v>
      </c>
      <c r="L40" s="3"/>
      <c r="M40" s="3">
        <v>17442600</v>
      </c>
      <c r="N40" s="3"/>
      <c r="O40" s="8">
        <f t="shared" si="0"/>
        <v>1494245</v>
      </c>
      <c r="P40" s="3"/>
      <c r="Q40" s="3">
        <v>7292350</v>
      </c>
      <c r="R40" s="3"/>
      <c r="S40" s="3">
        <v>8786595</v>
      </c>
      <c r="T40" s="3"/>
      <c r="U40" s="3">
        <v>147276</v>
      </c>
      <c r="V40" s="3"/>
      <c r="W40" s="3">
        <v>427181</v>
      </c>
      <c r="X40" s="3"/>
      <c r="Y40" s="3">
        <v>636</v>
      </c>
      <c r="Z40" s="3"/>
      <c r="AA40" s="3">
        <v>2519296</v>
      </c>
      <c r="AB40" s="3"/>
      <c r="AC40" s="3">
        <v>5561616</v>
      </c>
      <c r="AD40" s="3"/>
      <c r="AE40" s="27">
        <f t="shared" si="5"/>
        <v>8656005</v>
      </c>
      <c r="AF40" s="3"/>
      <c r="AG40" s="3">
        <f t="shared" si="1"/>
        <v>0</v>
      </c>
      <c r="AJ40" s="3"/>
      <c r="AK40" s="3" t="str">
        <f t="shared" si="2"/>
        <v>Medina County JVSD</v>
      </c>
      <c r="AL40" s="20" t="str">
        <f>GenExp!A40</f>
        <v>Medina County JVSD</v>
      </c>
      <c r="AM40" s="20" t="b">
        <f t="shared" si="3"/>
        <v>1</v>
      </c>
      <c r="AO40" s="20" t="str">
        <f t="shared" si="4"/>
        <v>Medina</v>
      </c>
      <c r="AP40" s="20" t="b">
        <f>GenExp!C40=C40</f>
        <v>1</v>
      </c>
    </row>
    <row r="41" spans="1:42" s="16" customFormat="1">
      <c r="A41" s="3" t="s">
        <v>310</v>
      </c>
      <c r="C41" s="16" t="s">
        <v>184</v>
      </c>
      <c r="E41" s="16">
        <v>51284</v>
      </c>
      <c r="G41" s="3">
        <v>4394838</v>
      </c>
      <c r="H41" s="3"/>
      <c r="I41" s="3">
        <v>0</v>
      </c>
      <c r="J41" s="3"/>
      <c r="K41" s="8">
        <f t="shared" si="6"/>
        <v>11852288</v>
      </c>
      <c r="L41" s="3"/>
      <c r="M41" s="3">
        <v>16247126</v>
      </c>
      <c r="N41" s="3"/>
      <c r="O41" s="8">
        <f t="shared" si="0"/>
        <v>3335073</v>
      </c>
      <c r="P41" s="3"/>
      <c r="Q41" s="3">
        <v>10606731</v>
      </c>
      <c r="R41" s="3"/>
      <c r="S41" s="3">
        <v>13941804</v>
      </c>
      <c r="T41" s="3"/>
      <c r="U41" s="3">
        <v>0</v>
      </c>
      <c r="V41" s="3"/>
      <c r="W41" s="3">
        <v>227326</v>
      </c>
      <c r="X41" s="3"/>
      <c r="Y41" s="3">
        <v>0</v>
      </c>
      <c r="Z41" s="3"/>
      <c r="AA41" s="3">
        <v>291993</v>
      </c>
      <c r="AB41" s="3"/>
      <c r="AC41" s="3">
        <v>1786003</v>
      </c>
      <c r="AD41" s="3"/>
      <c r="AE41" s="27">
        <f t="shared" si="5"/>
        <v>2305322</v>
      </c>
      <c r="AF41" s="3"/>
      <c r="AG41" s="3">
        <f t="shared" si="1"/>
        <v>0</v>
      </c>
      <c r="AJ41" s="3" t="s">
        <v>396</v>
      </c>
      <c r="AK41" s="3" t="str">
        <f t="shared" si="2"/>
        <v>Miami Valley Career Tech Center</v>
      </c>
      <c r="AL41" s="20" t="str">
        <f>GenExp!A41</f>
        <v>Miami Valley Career Tech Center</v>
      </c>
      <c r="AM41" s="20" t="b">
        <f t="shared" si="3"/>
        <v>1</v>
      </c>
      <c r="AO41" s="20" t="str">
        <f t="shared" si="4"/>
        <v>Montgomery</v>
      </c>
      <c r="AP41" s="20" t="b">
        <f>GenExp!C41=C41</f>
        <v>1</v>
      </c>
    </row>
    <row r="42" spans="1:42" s="16" customFormat="1">
      <c r="A42" s="3" t="s">
        <v>397</v>
      </c>
      <c r="C42" s="16" t="s">
        <v>186</v>
      </c>
      <c r="E42" s="16">
        <v>51300</v>
      </c>
      <c r="G42" s="3">
        <f>21553950+836216</f>
        <v>22390166</v>
      </c>
      <c r="H42" s="3"/>
      <c r="I42" s="3">
        <v>46968</v>
      </c>
      <c r="J42" s="3"/>
      <c r="K42" s="8">
        <f t="shared" si="6"/>
        <v>58045994</v>
      </c>
      <c r="L42" s="3"/>
      <c r="M42" s="3">
        <v>80483128</v>
      </c>
      <c r="N42" s="3"/>
      <c r="O42" s="8">
        <f t="shared" si="0"/>
        <v>2108153</v>
      </c>
      <c r="P42" s="3"/>
      <c r="Q42" s="3">
        <v>36461400</v>
      </c>
      <c r="R42" s="3"/>
      <c r="S42" s="3">
        <v>38569553</v>
      </c>
      <c r="T42" s="3"/>
      <c r="U42" s="3">
        <f>88286+126331+1402</f>
        <v>216019</v>
      </c>
      <c r="V42" s="3"/>
      <c r="W42" s="3">
        <f>45566+70893+1378235+128102+317667+666886+18650+23843736+453</f>
        <v>26470188</v>
      </c>
      <c r="X42" s="3"/>
      <c r="Y42" s="3">
        <f>3864934+76481</f>
        <v>3941415</v>
      </c>
      <c r="Z42" s="3"/>
      <c r="AA42" s="3">
        <f>106520+11583</f>
        <v>118103</v>
      </c>
      <c r="AB42" s="3"/>
      <c r="AC42" s="3">
        <v>11167850</v>
      </c>
      <c r="AD42" s="3"/>
      <c r="AE42" s="27">
        <f t="shared" si="5"/>
        <v>41913575</v>
      </c>
      <c r="AF42" s="3"/>
      <c r="AG42" s="3">
        <f t="shared" si="1"/>
        <v>0</v>
      </c>
      <c r="AJ42" s="3"/>
      <c r="AK42" s="3" t="str">
        <f t="shared" si="2"/>
        <v>Mid-East Career &amp; Tech Centers</v>
      </c>
      <c r="AL42" s="20" t="str">
        <f>GenExp!A42</f>
        <v>Mid-East Career &amp; Tech Centers</v>
      </c>
      <c r="AM42" s="20" t="b">
        <f t="shared" si="3"/>
        <v>1</v>
      </c>
      <c r="AO42" s="20" t="str">
        <f t="shared" si="4"/>
        <v>Muskingum</v>
      </c>
      <c r="AP42" s="20" t="b">
        <f>GenExp!C42=C42</f>
        <v>1</v>
      </c>
    </row>
    <row r="43" spans="1:42" s="16" customFormat="1">
      <c r="A43" s="3" t="s">
        <v>218</v>
      </c>
      <c r="C43" s="16" t="s">
        <v>177</v>
      </c>
      <c r="E43" s="16">
        <v>51334</v>
      </c>
      <c r="G43" s="3">
        <v>9040462</v>
      </c>
      <c r="H43" s="3"/>
      <c r="I43" s="3">
        <v>14086</v>
      </c>
      <c r="J43" s="3"/>
      <c r="K43" s="8">
        <f t="shared" si="6"/>
        <v>6042390</v>
      </c>
      <c r="L43" s="3"/>
      <c r="M43" s="3">
        <v>15096938</v>
      </c>
      <c r="N43" s="3"/>
      <c r="O43" s="8">
        <f t="shared" si="0"/>
        <v>1121136</v>
      </c>
      <c r="P43" s="3"/>
      <c r="Q43" s="3">
        <v>4879021</v>
      </c>
      <c r="R43" s="3"/>
      <c r="S43" s="3">
        <v>6000157</v>
      </c>
      <c r="T43" s="3"/>
      <c r="U43" s="3">
        <v>751</v>
      </c>
      <c r="V43" s="3"/>
      <c r="W43" s="3">
        <v>711554</v>
      </c>
      <c r="X43" s="3"/>
      <c r="Y43" s="3">
        <v>0</v>
      </c>
      <c r="Z43" s="3"/>
      <c r="AA43" s="3">
        <v>976527</v>
      </c>
      <c r="AB43" s="3"/>
      <c r="AC43" s="3">
        <v>7407949</v>
      </c>
      <c r="AD43" s="3"/>
      <c r="AE43" s="27">
        <f t="shared" si="5"/>
        <v>9096781</v>
      </c>
      <c r="AF43" s="3"/>
      <c r="AG43" s="3">
        <f t="shared" si="1"/>
        <v>0</v>
      </c>
      <c r="AJ43" s="32" t="s">
        <v>401</v>
      </c>
      <c r="AK43" s="3" t="str">
        <f t="shared" si="2"/>
        <v>Ohio Hi-Point JVSD</v>
      </c>
      <c r="AL43" s="20" t="str">
        <f>GenExp!A43</f>
        <v>Ohio Hi-Point JVSD</v>
      </c>
      <c r="AM43" s="20" t="b">
        <f t="shared" si="3"/>
        <v>1</v>
      </c>
      <c r="AO43" s="20" t="str">
        <f t="shared" si="4"/>
        <v>Logan</v>
      </c>
      <c r="AP43" s="20" t="b">
        <f>GenExp!C43=C43</f>
        <v>1</v>
      </c>
    </row>
    <row r="44" spans="1:42" s="16" customFormat="1">
      <c r="A44" s="3" t="s">
        <v>402</v>
      </c>
      <c r="C44" s="16" t="s">
        <v>209</v>
      </c>
      <c r="E44" s="16">
        <v>51359</v>
      </c>
      <c r="G44" s="3">
        <v>24425729</v>
      </c>
      <c r="H44" s="3"/>
      <c r="I44" s="3">
        <v>0</v>
      </c>
      <c r="J44" s="3"/>
      <c r="K44" s="8">
        <f t="shared" si="6"/>
        <v>16789495</v>
      </c>
      <c r="L44" s="3"/>
      <c r="M44" s="3">
        <v>41215224</v>
      </c>
      <c r="N44" s="3"/>
      <c r="O44" s="8">
        <f t="shared" si="0"/>
        <v>3674585</v>
      </c>
      <c r="P44" s="3"/>
      <c r="Q44" s="3">
        <f>741486+13403536</f>
        <v>14145022</v>
      </c>
      <c r="R44" s="3"/>
      <c r="S44" s="3">
        <v>17819607</v>
      </c>
      <c r="T44" s="3"/>
      <c r="U44" s="3">
        <f>10238+61735</f>
        <v>71973</v>
      </c>
      <c r="V44" s="3"/>
      <c r="W44" s="3">
        <f>4198312+12112875+223390+29158+400</f>
        <v>16564135</v>
      </c>
      <c r="X44" s="3"/>
      <c r="Y44" s="3">
        <v>2145388</v>
      </c>
      <c r="Z44" s="3"/>
      <c r="AA44" s="3">
        <f>111305+103779+3165+262403</f>
        <v>480652</v>
      </c>
      <c r="AB44" s="3"/>
      <c r="AC44" s="3">
        <v>4133469</v>
      </c>
      <c r="AD44" s="3"/>
      <c r="AE44" s="27">
        <f t="shared" si="5"/>
        <v>23395617</v>
      </c>
      <c r="AF44" s="3"/>
      <c r="AG44" s="3">
        <f t="shared" si="1"/>
        <v>0</v>
      </c>
      <c r="AJ44" s="32" t="s">
        <v>403</v>
      </c>
      <c r="AK44" s="3" t="str">
        <f t="shared" si="2"/>
        <v>Penta Career Center</v>
      </c>
      <c r="AL44" s="20" t="str">
        <f>GenExp!A44</f>
        <v>Penta Career Center</v>
      </c>
      <c r="AM44" s="20" t="b">
        <f t="shared" si="3"/>
        <v>1</v>
      </c>
      <c r="AO44" s="20" t="str">
        <f t="shared" si="4"/>
        <v>Wood</v>
      </c>
      <c r="AP44" s="20" t="b">
        <f>GenExp!C44=C44</f>
        <v>1</v>
      </c>
    </row>
    <row r="45" spans="1:42" s="16" customFormat="1">
      <c r="A45" s="3" t="s">
        <v>407</v>
      </c>
      <c r="C45" s="16" t="s">
        <v>194</v>
      </c>
      <c r="E45" s="16">
        <v>51433</v>
      </c>
      <c r="G45" s="3">
        <v>11453118</v>
      </c>
      <c r="H45" s="3"/>
      <c r="I45" s="3">
        <v>67203</v>
      </c>
      <c r="J45" s="3"/>
      <c r="K45" s="8">
        <f t="shared" si="6"/>
        <v>5363255</v>
      </c>
      <c r="L45" s="3"/>
      <c r="M45" s="3">
        <v>16883576</v>
      </c>
      <c r="N45" s="3"/>
      <c r="O45" s="8">
        <f t="shared" si="0"/>
        <v>2461060</v>
      </c>
      <c r="P45" s="3"/>
      <c r="Q45" s="3">
        <v>3644100</v>
      </c>
      <c r="R45" s="3"/>
      <c r="S45" s="3">
        <v>6105160</v>
      </c>
      <c r="T45" s="3"/>
      <c r="U45" s="3">
        <v>0</v>
      </c>
      <c r="V45" s="3"/>
      <c r="W45" s="3">
        <v>3321325</v>
      </c>
      <c r="X45" s="3"/>
      <c r="Y45" s="3">
        <v>265273</v>
      </c>
      <c r="Z45" s="3"/>
      <c r="AA45" s="3">
        <v>227678</v>
      </c>
      <c r="AB45" s="3"/>
      <c r="AC45" s="3">
        <v>6964140</v>
      </c>
      <c r="AD45" s="3"/>
      <c r="AE45" s="27">
        <f t="shared" si="5"/>
        <v>10778416</v>
      </c>
      <c r="AF45" s="3"/>
      <c r="AG45" s="3">
        <f t="shared" si="1"/>
        <v>0</v>
      </c>
      <c r="AJ45" s="3"/>
      <c r="AK45" s="3" t="str">
        <f t="shared" si="2"/>
        <v>Pickaway-Ross Career &amp; Tech Center</v>
      </c>
      <c r="AL45" s="20" t="str">
        <f>GenExp!A45</f>
        <v>Pickaway-Ross Career &amp; Tech Center</v>
      </c>
      <c r="AM45" s="20" t="b">
        <f t="shared" si="3"/>
        <v>1</v>
      </c>
      <c r="AO45" s="20" t="str">
        <f t="shared" si="4"/>
        <v>Ross</v>
      </c>
      <c r="AP45" s="20" t="b">
        <f>GenExp!C45=C45</f>
        <v>1</v>
      </c>
    </row>
    <row r="46" spans="1:42" s="16" customFormat="1">
      <c r="A46" s="3" t="s">
        <v>257</v>
      </c>
      <c r="C46" s="16" t="s">
        <v>225</v>
      </c>
      <c r="E46" s="16">
        <v>51375</v>
      </c>
      <c r="G46" s="3">
        <f>4371004+5000</f>
        <v>4376004</v>
      </c>
      <c r="H46" s="3"/>
      <c r="I46" s="3">
        <v>23547</v>
      </c>
      <c r="J46" s="3"/>
      <c r="K46" s="8">
        <f t="shared" si="6"/>
        <v>1758053</v>
      </c>
      <c r="L46" s="3"/>
      <c r="M46" s="3">
        <v>6157604</v>
      </c>
      <c r="N46" s="3"/>
      <c r="O46" s="8">
        <f t="shared" si="0"/>
        <v>619969</v>
      </c>
      <c r="P46" s="3"/>
      <c r="Q46" s="3">
        <v>1298823</v>
      </c>
      <c r="R46" s="3"/>
      <c r="S46" s="3">
        <v>1918792</v>
      </c>
      <c r="T46" s="3"/>
      <c r="U46" s="3">
        <v>4907</v>
      </c>
      <c r="V46" s="3"/>
      <c r="W46" s="3">
        <v>1090367</v>
      </c>
      <c r="X46" s="3"/>
      <c r="Y46" s="3">
        <v>0</v>
      </c>
      <c r="Z46" s="3"/>
      <c r="AA46" s="3">
        <v>50870</v>
      </c>
      <c r="AB46" s="3"/>
      <c r="AC46" s="3">
        <v>3092668</v>
      </c>
      <c r="AD46" s="3"/>
      <c r="AE46" s="27">
        <f t="shared" si="5"/>
        <v>4238812</v>
      </c>
      <c r="AF46" s="3"/>
      <c r="AG46" s="3">
        <f t="shared" si="1"/>
        <v>0</v>
      </c>
      <c r="AJ46" s="3"/>
      <c r="AK46" s="3" t="str">
        <f t="shared" si="2"/>
        <v>Pike County JVSD</v>
      </c>
      <c r="AL46" s="20" t="str">
        <f>GenExp!A46</f>
        <v>Pike County JVSD</v>
      </c>
      <c r="AM46" s="20" t="b">
        <f t="shared" si="3"/>
        <v>1</v>
      </c>
      <c r="AO46" s="20" t="str">
        <f t="shared" si="4"/>
        <v>Pike</v>
      </c>
      <c r="AP46" s="20" t="b">
        <f>GenExp!C46=C46</f>
        <v>1</v>
      </c>
    </row>
    <row r="47" spans="1:42" s="16" customFormat="1">
      <c r="A47" s="3" t="s">
        <v>311</v>
      </c>
      <c r="C47" s="16" t="s">
        <v>193</v>
      </c>
      <c r="E47" s="16">
        <v>51417</v>
      </c>
      <c r="G47" s="3">
        <f>26712713+782450</f>
        <v>27495163</v>
      </c>
      <c r="H47" s="3"/>
      <c r="I47" s="3">
        <v>0</v>
      </c>
      <c r="J47" s="3"/>
      <c r="K47" s="8">
        <f t="shared" si="6"/>
        <v>6043707</v>
      </c>
      <c r="L47" s="3"/>
      <c r="M47" s="3">
        <v>33538870</v>
      </c>
      <c r="N47" s="3"/>
      <c r="O47" s="8">
        <f t="shared" si="0"/>
        <v>3276362</v>
      </c>
      <c r="P47" s="3"/>
      <c r="Q47" s="3">
        <f>1873003+2766995</f>
        <v>4639998</v>
      </c>
      <c r="R47" s="3"/>
      <c r="S47" s="3">
        <v>7916360</v>
      </c>
      <c r="T47" s="3"/>
      <c r="U47" s="3">
        <f>61285+85463</f>
        <v>146748</v>
      </c>
      <c r="V47" s="3"/>
      <c r="W47" s="3">
        <f>9065907+659919+593553+41318+42646</f>
        <v>10403343</v>
      </c>
      <c r="X47" s="3"/>
      <c r="Y47" s="3">
        <f>4605544+784691</f>
        <v>5390235</v>
      </c>
      <c r="Z47" s="3"/>
      <c r="AA47" s="3">
        <f>111864+270877+461+59177+84435</f>
        <v>526814</v>
      </c>
      <c r="AB47" s="3"/>
      <c r="AC47" s="3">
        <v>9155370</v>
      </c>
      <c r="AD47" s="3"/>
      <c r="AE47" s="27">
        <f t="shared" si="5"/>
        <v>25622510</v>
      </c>
      <c r="AF47" s="3"/>
      <c r="AG47" s="3">
        <f t="shared" si="1"/>
        <v>0</v>
      </c>
      <c r="AJ47" s="32"/>
      <c r="AK47" s="3" t="str">
        <f t="shared" si="2"/>
        <v>Pioneer Career &amp; Tech Center</v>
      </c>
      <c r="AL47" s="20" t="str">
        <f>GenExp!A47</f>
        <v>Pioneer Career &amp; Tech Center</v>
      </c>
      <c r="AM47" s="20" t="b">
        <f t="shared" si="3"/>
        <v>1</v>
      </c>
      <c r="AO47" s="20" t="str">
        <f t="shared" si="4"/>
        <v>Richland</v>
      </c>
      <c r="AP47" s="20" t="b">
        <f>GenExp!C47=C47</f>
        <v>1</v>
      </c>
    </row>
    <row r="48" spans="1:42" s="16" customFormat="1" ht="11.25" customHeight="1">
      <c r="A48" s="3" t="s">
        <v>258</v>
      </c>
      <c r="C48" s="16" t="s">
        <v>160</v>
      </c>
      <c r="E48" s="16">
        <v>50948</v>
      </c>
      <c r="G48" s="3">
        <v>6621816</v>
      </c>
      <c r="H48" s="3"/>
      <c r="I48" s="3">
        <v>241244</v>
      </c>
      <c r="J48" s="3"/>
      <c r="K48" s="8">
        <f t="shared" si="6"/>
        <v>9665833</v>
      </c>
      <c r="L48" s="3"/>
      <c r="M48" s="3">
        <v>16528893</v>
      </c>
      <c r="N48" s="3"/>
      <c r="O48" s="8">
        <f t="shared" si="0"/>
        <v>1673402</v>
      </c>
      <c r="P48" s="3"/>
      <c r="Q48" s="3">
        <v>8141010</v>
      </c>
      <c r="R48" s="3"/>
      <c r="S48" s="3">
        <v>9814412</v>
      </c>
      <c r="T48" s="3"/>
      <c r="U48" s="3">
        <v>29095</v>
      </c>
      <c r="V48" s="3"/>
      <c r="W48" s="3">
        <v>17626</v>
      </c>
      <c r="X48" s="3"/>
      <c r="Y48" s="3">
        <v>0</v>
      </c>
      <c r="Z48" s="3"/>
      <c r="AA48" s="3">
        <v>501928</v>
      </c>
      <c r="AB48" s="3"/>
      <c r="AC48" s="3">
        <v>6165832</v>
      </c>
      <c r="AD48" s="3"/>
      <c r="AE48" s="27">
        <f t="shared" si="5"/>
        <v>6714481</v>
      </c>
      <c r="AF48" s="3"/>
      <c r="AG48" s="3">
        <f t="shared" si="1"/>
        <v>0</v>
      </c>
      <c r="AJ48" s="3"/>
      <c r="AK48" s="3" t="str">
        <f t="shared" si="2"/>
        <v>Polaris Career Center</v>
      </c>
      <c r="AL48" s="20" t="str">
        <f>GenExp!A48</f>
        <v>Polaris Career Center</v>
      </c>
      <c r="AM48" s="20" t="b">
        <f t="shared" si="3"/>
        <v>1</v>
      </c>
      <c r="AO48" s="20" t="str">
        <f t="shared" si="4"/>
        <v>Cuyahoga</v>
      </c>
      <c r="AP48" s="20" t="b">
        <f>GenExp!C48=C48</f>
        <v>1</v>
      </c>
    </row>
    <row r="49" spans="1:42" s="16" customFormat="1">
      <c r="A49" s="3" t="s">
        <v>259</v>
      </c>
      <c r="C49" s="16" t="s">
        <v>200</v>
      </c>
      <c r="E49" s="16">
        <v>63495</v>
      </c>
      <c r="G49" s="3">
        <v>13118359</v>
      </c>
      <c r="H49" s="3"/>
      <c r="I49" s="3">
        <v>38707</v>
      </c>
      <c r="J49" s="3"/>
      <c r="K49" s="8">
        <f t="shared" si="6"/>
        <v>3070327</v>
      </c>
      <c r="L49" s="3"/>
      <c r="M49" s="3">
        <v>16227393</v>
      </c>
      <c r="N49" s="3"/>
      <c r="O49" s="8">
        <f t="shared" si="0"/>
        <v>849655</v>
      </c>
      <c r="P49" s="3"/>
      <c r="Q49" s="3">
        <v>2665866</v>
      </c>
      <c r="R49" s="3"/>
      <c r="S49" s="3">
        <v>3515521</v>
      </c>
      <c r="T49" s="3"/>
      <c r="U49" s="3">
        <v>0</v>
      </c>
      <c r="V49" s="3"/>
      <c r="W49" s="3">
        <v>1466926</v>
      </c>
      <c r="X49" s="3"/>
      <c r="Y49" s="3">
        <v>11000</v>
      </c>
      <c r="Z49" s="3"/>
      <c r="AA49" s="3">
        <v>371781</v>
      </c>
      <c r="AB49" s="3"/>
      <c r="AC49" s="3">
        <v>10862165</v>
      </c>
      <c r="AD49" s="3"/>
      <c r="AE49" s="27">
        <f t="shared" si="5"/>
        <v>12711872</v>
      </c>
      <c r="AF49" s="3"/>
      <c r="AG49" s="3">
        <f t="shared" si="1"/>
        <v>0</v>
      </c>
      <c r="AJ49" s="3"/>
      <c r="AK49" s="3" t="str">
        <f t="shared" si="2"/>
        <v>Portage Lakes Career Center</v>
      </c>
      <c r="AL49" s="20" t="str">
        <f>GenExp!A49</f>
        <v>Portage Lakes Career Center</v>
      </c>
      <c r="AM49" s="20" t="b">
        <f t="shared" si="3"/>
        <v>1</v>
      </c>
      <c r="AO49" s="20" t="str">
        <f t="shared" si="4"/>
        <v>Summit</v>
      </c>
      <c r="AP49" s="20" t="b">
        <f>GenExp!C49=C49</f>
        <v>1</v>
      </c>
    </row>
    <row r="50" spans="1:42" s="16" customFormat="1">
      <c r="A50" s="3" t="s">
        <v>260</v>
      </c>
      <c r="C50" s="16" t="s">
        <v>196</v>
      </c>
      <c r="E50" s="16">
        <v>51490</v>
      </c>
      <c r="G50" s="3">
        <v>5410186</v>
      </c>
      <c r="H50" s="3"/>
      <c r="I50" s="3">
        <v>1107709</v>
      </c>
      <c r="J50" s="3"/>
      <c r="K50" s="8">
        <f t="shared" si="6"/>
        <v>3522300</v>
      </c>
      <c r="L50" s="3"/>
      <c r="M50" s="3">
        <v>10040195</v>
      </c>
      <c r="N50" s="3"/>
      <c r="O50" s="8">
        <f t="shared" si="0"/>
        <v>1117238</v>
      </c>
      <c r="P50" s="3"/>
      <c r="Q50" s="3">
        <v>2758757</v>
      </c>
      <c r="R50" s="3"/>
      <c r="S50" s="3">
        <v>3875995</v>
      </c>
      <c r="T50" s="3"/>
      <c r="U50" s="3">
        <v>0</v>
      </c>
      <c r="V50" s="3"/>
      <c r="W50" s="3">
        <v>3771866</v>
      </c>
      <c r="X50" s="3"/>
      <c r="Y50" s="3">
        <v>0</v>
      </c>
      <c r="Z50" s="3"/>
      <c r="AA50" s="3">
        <v>436111</v>
      </c>
      <c r="AB50" s="3"/>
      <c r="AC50" s="3">
        <v>1956223</v>
      </c>
      <c r="AD50" s="3"/>
      <c r="AE50" s="27">
        <f t="shared" si="5"/>
        <v>6164200</v>
      </c>
      <c r="AF50" s="3"/>
      <c r="AG50" s="3">
        <f t="shared" si="1"/>
        <v>0</v>
      </c>
      <c r="AJ50" s="3"/>
      <c r="AK50" s="3" t="str">
        <f t="shared" si="2"/>
        <v>Scioto County JVSD</v>
      </c>
      <c r="AL50" s="20" t="str">
        <f>GenExp!A50</f>
        <v>Scioto County JVSD</v>
      </c>
      <c r="AM50" s="20" t="b">
        <f t="shared" si="3"/>
        <v>1</v>
      </c>
      <c r="AO50" s="20" t="str">
        <f t="shared" si="4"/>
        <v>Scioto</v>
      </c>
      <c r="AP50" s="20" t="b">
        <f>GenExp!C50=C50</f>
        <v>1</v>
      </c>
    </row>
    <row r="51" spans="1:42" s="16" customFormat="1">
      <c r="A51" s="3" t="s">
        <v>211</v>
      </c>
      <c r="C51" s="16" t="s">
        <v>153</v>
      </c>
      <c r="E51" s="16">
        <v>50799</v>
      </c>
      <c r="G51" s="3">
        <v>8163626</v>
      </c>
      <c r="H51" s="3"/>
      <c r="I51" s="3">
        <v>20297</v>
      </c>
      <c r="J51" s="3"/>
      <c r="K51" s="8">
        <f t="shared" si="6"/>
        <v>2655158</v>
      </c>
      <c r="L51" s="3"/>
      <c r="M51" s="3">
        <v>10839081</v>
      </c>
      <c r="N51" s="3"/>
      <c r="O51" s="8">
        <f t="shared" si="0"/>
        <v>851067</v>
      </c>
      <c r="P51" s="3"/>
      <c r="Q51" s="3">
        <v>1853595</v>
      </c>
      <c r="R51" s="3"/>
      <c r="S51" s="3">
        <v>2704662</v>
      </c>
      <c r="T51" s="3"/>
      <c r="U51" s="3">
        <v>266444</v>
      </c>
      <c r="V51" s="3"/>
      <c r="W51" s="3">
        <v>4999848</v>
      </c>
      <c r="X51" s="3"/>
      <c r="Y51" s="3">
        <v>173474</v>
      </c>
      <c r="Z51" s="3"/>
      <c r="AA51" s="3">
        <v>66402</v>
      </c>
      <c r="AB51" s="3"/>
      <c r="AC51" s="3">
        <v>2628251</v>
      </c>
      <c r="AD51" s="3"/>
      <c r="AE51" s="27">
        <f t="shared" si="5"/>
        <v>8134419</v>
      </c>
      <c r="AF51" s="3"/>
      <c r="AG51" s="3">
        <f t="shared" si="1"/>
        <v>0</v>
      </c>
      <c r="AJ51" s="3"/>
      <c r="AK51" s="3" t="str">
        <f t="shared" si="2"/>
        <v>Southern Hills JVSD</v>
      </c>
      <c r="AL51" s="20" t="str">
        <f>GenExp!A51</f>
        <v>Southern Hills JVSD</v>
      </c>
      <c r="AM51" s="20" t="b">
        <f t="shared" si="3"/>
        <v>1</v>
      </c>
      <c r="AO51" s="20" t="str">
        <f t="shared" si="4"/>
        <v>Brown</v>
      </c>
      <c r="AP51" s="20" t="b">
        <f>GenExp!C51=C51</f>
        <v>1</v>
      </c>
    </row>
    <row r="52" spans="1:42" s="16" customFormat="1">
      <c r="A52" s="3" t="s">
        <v>286</v>
      </c>
      <c r="C52" s="16" t="s">
        <v>155</v>
      </c>
      <c r="E52" s="16">
        <v>51532</v>
      </c>
      <c r="G52" s="3">
        <v>8050778</v>
      </c>
      <c r="H52" s="3"/>
      <c r="I52" s="3">
        <v>0</v>
      </c>
      <c r="J52" s="3"/>
      <c r="K52" s="8">
        <f t="shared" si="6"/>
        <v>5511456</v>
      </c>
      <c r="L52" s="3"/>
      <c r="M52" s="3">
        <v>13562234</v>
      </c>
      <c r="N52" s="3"/>
      <c r="O52" s="8">
        <f t="shared" si="0"/>
        <v>1034693</v>
      </c>
      <c r="P52" s="3"/>
      <c r="Q52" s="3">
        <v>4072667</v>
      </c>
      <c r="R52" s="3"/>
      <c r="S52" s="3">
        <v>5107360</v>
      </c>
      <c r="T52" s="3"/>
      <c r="U52" s="3">
        <v>55763</v>
      </c>
      <c r="V52" s="3"/>
      <c r="W52" s="3">
        <v>179375</v>
      </c>
      <c r="X52" s="3"/>
      <c r="Y52" s="3">
        <v>0</v>
      </c>
      <c r="Z52" s="3"/>
      <c r="AA52" s="3">
        <v>185537</v>
      </c>
      <c r="AB52" s="3"/>
      <c r="AC52" s="3">
        <v>8034199</v>
      </c>
      <c r="AD52" s="3"/>
      <c r="AE52" s="27">
        <f t="shared" si="5"/>
        <v>8454874</v>
      </c>
      <c r="AF52" s="3"/>
      <c r="AG52" s="3">
        <f t="shared" si="1"/>
        <v>0</v>
      </c>
      <c r="AJ52" s="32"/>
      <c r="AK52" s="3" t="str">
        <f t="shared" si="2"/>
        <v>Springfield-Clark Co Career Tech Center</v>
      </c>
      <c r="AL52" s="20" t="str">
        <f>GenExp!A52</f>
        <v>Springfield-Clark Co Career Tech Center</v>
      </c>
      <c r="AM52" s="20" t="b">
        <f t="shared" si="3"/>
        <v>1</v>
      </c>
      <c r="AO52" s="20" t="str">
        <f t="shared" si="4"/>
        <v>Clark</v>
      </c>
      <c r="AP52" s="20" t="b">
        <f>GenExp!C52=C52</f>
        <v>1</v>
      </c>
    </row>
    <row r="53" spans="1:42" s="16" customFormat="1">
      <c r="A53" s="3" t="s">
        <v>226</v>
      </c>
      <c r="C53" s="16" t="s">
        <v>199</v>
      </c>
      <c r="E53" s="16">
        <v>62026</v>
      </c>
      <c r="G53" s="3">
        <v>10523538</v>
      </c>
      <c r="H53" s="3"/>
      <c r="I53" s="3">
        <v>0</v>
      </c>
      <c r="J53" s="3"/>
      <c r="K53" s="8">
        <f t="shared" si="6"/>
        <v>2463663</v>
      </c>
      <c r="L53" s="3"/>
      <c r="M53" s="3">
        <v>12987201</v>
      </c>
      <c r="N53" s="3"/>
      <c r="O53" s="8">
        <f t="shared" si="0"/>
        <v>957833</v>
      </c>
      <c r="P53" s="3"/>
      <c r="Q53" s="3">
        <f>115657+1895605</f>
        <v>2011262</v>
      </c>
      <c r="R53" s="3"/>
      <c r="S53" s="3">
        <v>2969095</v>
      </c>
      <c r="T53" s="3"/>
      <c r="U53" s="3">
        <f>13501+5425+30000</f>
        <v>48926</v>
      </c>
      <c r="V53" s="3"/>
      <c r="W53" s="3">
        <f>4707+22178</f>
        <v>26885</v>
      </c>
      <c r="X53" s="3"/>
      <c r="Y53" s="3">
        <v>76234</v>
      </c>
      <c r="Z53" s="3"/>
      <c r="AA53" s="3">
        <f>82625+17079+21+60217</f>
        <v>159942</v>
      </c>
      <c r="AB53" s="3"/>
      <c r="AC53" s="3">
        <v>9706119</v>
      </c>
      <c r="AD53" s="3"/>
      <c r="AE53" s="27">
        <f t="shared" si="5"/>
        <v>10018106</v>
      </c>
      <c r="AF53" s="3"/>
      <c r="AG53" s="3">
        <f t="shared" si="1"/>
        <v>0</v>
      </c>
      <c r="AJ53" s="3"/>
      <c r="AK53" s="3" t="str">
        <f t="shared" si="2"/>
        <v>Stark County Area JVSD</v>
      </c>
      <c r="AL53" s="20" t="str">
        <f>GenExp!A53</f>
        <v>Stark County Area JVSD</v>
      </c>
      <c r="AM53" s="20" t="b">
        <f t="shared" si="3"/>
        <v>1</v>
      </c>
      <c r="AO53" s="20" t="str">
        <f t="shared" si="4"/>
        <v>Stark</v>
      </c>
      <c r="AP53" s="20" t="b">
        <f>GenExp!C53=C53</f>
        <v>1</v>
      </c>
    </row>
    <row r="54" spans="1:42" s="16" customFormat="1">
      <c r="A54" s="3" t="s">
        <v>290</v>
      </c>
      <c r="C54" s="16" t="s">
        <v>220</v>
      </c>
      <c r="G54" s="3">
        <v>5379336</v>
      </c>
      <c r="H54" s="3"/>
      <c r="I54" s="3">
        <v>0</v>
      </c>
      <c r="J54" s="3"/>
      <c r="K54" s="8">
        <f t="shared" si="6"/>
        <v>9094994</v>
      </c>
      <c r="L54" s="3"/>
      <c r="M54" s="3">
        <v>14474330</v>
      </c>
      <c r="N54" s="3"/>
      <c r="O54" s="8">
        <f t="shared" si="0"/>
        <v>1248033</v>
      </c>
      <c r="P54" s="3"/>
      <c r="Q54" s="3">
        <v>5908007</v>
      </c>
      <c r="R54" s="3"/>
      <c r="S54" s="3">
        <v>7156040</v>
      </c>
      <c r="T54" s="3"/>
      <c r="U54" s="3">
        <f>67735+18630</f>
        <v>86365</v>
      </c>
      <c r="V54" s="3"/>
      <c r="W54" s="3">
        <f>19623+4658+688+44833+11502+85988</f>
        <v>167292</v>
      </c>
      <c r="X54" s="3"/>
      <c r="Y54" s="3">
        <v>0</v>
      </c>
      <c r="Z54" s="3"/>
      <c r="AA54" s="3">
        <v>91680</v>
      </c>
      <c r="AB54" s="3"/>
      <c r="AC54" s="3">
        <v>6972953</v>
      </c>
      <c r="AD54" s="3"/>
      <c r="AE54" s="27">
        <f t="shared" si="5"/>
        <v>7318290</v>
      </c>
      <c r="AF54" s="3"/>
      <c r="AG54" s="3">
        <f t="shared" si="1"/>
        <v>0</v>
      </c>
      <c r="AJ54" s="3"/>
      <c r="AK54" s="3" t="str">
        <f t="shared" si="2"/>
        <v>Tolles Career and Technical Center</v>
      </c>
      <c r="AL54" s="20" t="str">
        <f>GenExp!A54</f>
        <v>Tolles Career and Technical Center</v>
      </c>
      <c r="AM54" s="20" t="b">
        <f t="shared" si="3"/>
        <v>1</v>
      </c>
      <c r="AO54" s="20" t="str">
        <f t="shared" si="4"/>
        <v>Madison</v>
      </c>
      <c r="AP54" s="20" t="b">
        <f>GenExp!C54=C54</f>
        <v>1</v>
      </c>
    </row>
    <row r="55" spans="1:42" s="16" customFormat="1">
      <c r="A55" s="3" t="s">
        <v>312</v>
      </c>
      <c r="C55" s="16" t="s">
        <v>148</v>
      </c>
      <c r="E55" s="16">
        <v>51607</v>
      </c>
      <c r="G55" s="3">
        <v>3334824</v>
      </c>
      <c r="H55" s="3"/>
      <c r="I55" s="3">
        <v>0</v>
      </c>
      <c r="J55" s="3"/>
      <c r="K55" s="8">
        <f t="shared" si="6"/>
        <v>4155939</v>
      </c>
      <c r="L55" s="3"/>
      <c r="M55" s="3">
        <v>7490763</v>
      </c>
      <c r="N55" s="3"/>
      <c r="O55" s="8">
        <f t="shared" si="0"/>
        <v>774184</v>
      </c>
      <c r="P55" s="3"/>
      <c r="Q55" s="3">
        <v>3454271</v>
      </c>
      <c r="R55" s="3"/>
      <c r="S55" s="3">
        <v>4228455</v>
      </c>
      <c r="T55" s="3"/>
      <c r="U55" s="3">
        <v>61650</v>
      </c>
      <c r="V55" s="3"/>
      <c r="W55" s="3">
        <v>160659</v>
      </c>
      <c r="X55" s="3"/>
      <c r="Y55" s="3">
        <v>0</v>
      </c>
      <c r="Z55" s="3"/>
      <c r="AA55" s="3">
        <v>723242</v>
      </c>
      <c r="AB55" s="3"/>
      <c r="AC55" s="3">
        <v>2316757</v>
      </c>
      <c r="AD55" s="3"/>
      <c r="AE55" s="27">
        <f t="shared" si="5"/>
        <v>3262308</v>
      </c>
      <c r="AF55" s="3"/>
      <c r="AG55" s="3">
        <f t="shared" si="1"/>
        <v>0</v>
      </c>
      <c r="AJ55" s="3"/>
      <c r="AK55" s="3" t="str">
        <f t="shared" si="2"/>
        <v>Tri County Career Center</v>
      </c>
      <c r="AL55" s="20" t="str">
        <f>GenExp!A55</f>
        <v>Tri County Career Center</v>
      </c>
      <c r="AM55" s="20" t="b">
        <f t="shared" si="3"/>
        <v>1</v>
      </c>
      <c r="AO55" s="20" t="str">
        <f t="shared" si="4"/>
        <v>Athens</v>
      </c>
      <c r="AP55" s="20" t="b">
        <f>GenExp!C55=C55</f>
        <v>1</v>
      </c>
    </row>
    <row r="56" spans="1:42" s="16" customFormat="1">
      <c r="A56" s="3" t="s">
        <v>221</v>
      </c>
      <c r="C56" s="16" t="s">
        <v>222</v>
      </c>
      <c r="E56" s="16">
        <v>65268</v>
      </c>
      <c r="G56" s="3">
        <v>3852774</v>
      </c>
      <c r="H56" s="3"/>
      <c r="I56" s="3">
        <v>0</v>
      </c>
      <c r="J56" s="3"/>
      <c r="K56" s="8">
        <f t="shared" si="6"/>
        <v>4159279</v>
      </c>
      <c r="L56" s="3"/>
      <c r="M56" s="3">
        <v>8012053</v>
      </c>
      <c r="N56" s="3"/>
      <c r="O56" s="8">
        <f t="shared" si="0"/>
        <v>949706</v>
      </c>
      <c r="P56" s="3"/>
      <c r="Q56" s="3">
        <v>2946224</v>
      </c>
      <c r="R56" s="3"/>
      <c r="S56" s="3">
        <v>3895930</v>
      </c>
      <c r="T56" s="3"/>
      <c r="U56" s="3">
        <v>57602</v>
      </c>
      <c r="V56" s="3"/>
      <c r="W56" s="3">
        <v>38163</v>
      </c>
      <c r="X56" s="3"/>
      <c r="Y56" s="3">
        <v>0</v>
      </c>
      <c r="Z56" s="3"/>
      <c r="AA56" s="3">
        <v>193913</v>
      </c>
      <c r="AB56" s="3"/>
      <c r="AC56" s="3">
        <v>3826445</v>
      </c>
      <c r="AD56" s="3"/>
      <c r="AE56" s="27">
        <f t="shared" si="5"/>
        <v>4116123</v>
      </c>
      <c r="AF56" s="3"/>
      <c r="AG56" s="3">
        <f t="shared" si="1"/>
        <v>0</v>
      </c>
      <c r="AJ56" s="3"/>
      <c r="AK56" s="3" t="str">
        <f t="shared" si="2"/>
        <v>Tri-Rivers JVSD</v>
      </c>
      <c r="AL56" s="20" t="str">
        <f>GenExp!A56</f>
        <v>Tri-Rivers JVSD</v>
      </c>
      <c r="AM56" s="20" t="b">
        <f t="shared" si="3"/>
        <v>1</v>
      </c>
      <c r="AO56" s="20" t="str">
        <f t="shared" si="4"/>
        <v>Marion</v>
      </c>
      <c r="AP56" s="20" t="b">
        <f>GenExp!C56=C56</f>
        <v>1</v>
      </c>
    </row>
    <row r="57" spans="1:42" s="16" customFormat="1">
      <c r="A57" s="3" t="s">
        <v>313</v>
      </c>
      <c r="C57" s="16" t="s">
        <v>201</v>
      </c>
      <c r="E57" s="16">
        <v>51631</v>
      </c>
      <c r="G57" s="3">
        <v>11180984</v>
      </c>
      <c r="H57" s="3"/>
      <c r="I57" s="3">
        <v>0</v>
      </c>
      <c r="J57" s="3"/>
      <c r="K57" s="8">
        <f t="shared" si="6"/>
        <v>6897642</v>
      </c>
      <c r="L57" s="3"/>
      <c r="M57" s="3">
        <v>18078626</v>
      </c>
      <c r="N57" s="3"/>
      <c r="O57" s="8">
        <f t="shared" si="0"/>
        <v>1607693</v>
      </c>
      <c r="P57" s="3"/>
      <c r="Q57" s="3">
        <f>5228100+1565167</f>
        <v>6793267</v>
      </c>
      <c r="R57" s="3"/>
      <c r="S57" s="3">
        <v>8400960</v>
      </c>
      <c r="T57" s="3"/>
      <c r="U57" s="3">
        <f>10043+30112</f>
        <v>40155</v>
      </c>
      <c r="V57" s="3"/>
      <c r="W57" s="3">
        <f>556+69309+5157</f>
        <v>75022</v>
      </c>
      <c r="X57" s="3"/>
      <c r="Y57" s="3">
        <f>942978+90245</f>
        <v>1033223</v>
      </c>
      <c r="Z57" s="3"/>
      <c r="AA57" s="3">
        <f>56700+58470+228+180640</f>
        <v>296038</v>
      </c>
      <c r="AB57" s="3"/>
      <c r="AC57" s="3">
        <v>8233228</v>
      </c>
      <c r="AD57" s="3"/>
      <c r="AE57" s="27">
        <f t="shared" si="5"/>
        <v>9677666</v>
      </c>
      <c r="AF57" s="3"/>
      <c r="AG57" s="3">
        <f t="shared" si="1"/>
        <v>0</v>
      </c>
      <c r="AJ57" s="3"/>
      <c r="AK57" s="3" t="str">
        <f t="shared" si="2"/>
        <v>Trumbull Career &amp; Tech Center</v>
      </c>
      <c r="AL57" s="20" t="str">
        <f>GenExp!A57</f>
        <v>Trumbull Career &amp; Tech Center</v>
      </c>
      <c r="AM57" s="20" t="b">
        <f t="shared" si="3"/>
        <v>1</v>
      </c>
      <c r="AO57" s="20" t="str">
        <f t="shared" si="4"/>
        <v>Trumbull</v>
      </c>
      <c r="AP57" s="20" t="b">
        <f>GenExp!C57=C57</f>
        <v>1</v>
      </c>
    </row>
    <row r="58" spans="1:42" s="16" customFormat="1">
      <c r="A58" s="3" t="s">
        <v>212</v>
      </c>
      <c r="C58" s="16" t="s">
        <v>157</v>
      </c>
      <c r="E58" s="16">
        <v>62802</v>
      </c>
      <c r="G58" s="3">
        <v>10015522</v>
      </c>
      <c r="H58" s="3"/>
      <c r="I58" s="3">
        <v>24056</v>
      </c>
      <c r="J58" s="3"/>
      <c r="K58" s="8">
        <f t="shared" si="6"/>
        <v>3742327</v>
      </c>
      <c r="L58" s="3"/>
      <c r="M58" s="3">
        <v>13781905</v>
      </c>
      <c r="N58" s="3"/>
      <c r="O58" s="8">
        <f t="shared" si="0"/>
        <v>587268</v>
      </c>
      <c r="P58" s="3"/>
      <c r="Q58" s="3">
        <v>3077907</v>
      </c>
      <c r="R58" s="3"/>
      <c r="S58" s="3">
        <v>3665175</v>
      </c>
      <c r="T58" s="3"/>
      <c r="U58" s="3">
        <v>1176</v>
      </c>
      <c r="V58" s="3"/>
      <c r="W58" s="3">
        <v>282316</v>
      </c>
      <c r="X58" s="3"/>
      <c r="Y58" s="3">
        <v>0</v>
      </c>
      <c r="Z58" s="3"/>
      <c r="AA58" s="3">
        <v>708400</v>
      </c>
      <c r="AB58" s="3"/>
      <c r="AC58" s="3">
        <v>9124838</v>
      </c>
      <c r="AD58" s="3"/>
      <c r="AE58" s="27">
        <f t="shared" si="5"/>
        <v>10116730</v>
      </c>
      <c r="AF58" s="3"/>
      <c r="AG58" s="3">
        <f t="shared" si="1"/>
        <v>0</v>
      </c>
      <c r="AJ58" s="3"/>
      <c r="AK58" s="3" t="str">
        <f t="shared" si="2"/>
        <v>U S Grant JVSD</v>
      </c>
      <c r="AL58" s="20" t="str">
        <f>GenExp!A58</f>
        <v>U S Grant JVSD</v>
      </c>
      <c r="AM58" s="20" t="b">
        <f t="shared" si="3"/>
        <v>1</v>
      </c>
      <c r="AO58" s="20" t="str">
        <f t="shared" si="4"/>
        <v>Clermont</v>
      </c>
      <c r="AP58" s="20" t="b">
        <f>GenExp!C58=C58</f>
        <v>1</v>
      </c>
    </row>
    <row r="59" spans="1:42" s="16" customFormat="1">
      <c r="A59" s="3" t="s">
        <v>224</v>
      </c>
      <c r="C59" s="16" t="s">
        <v>183</v>
      </c>
      <c r="E59" s="16">
        <v>62125</v>
      </c>
      <c r="G59" s="3">
        <v>18546236</v>
      </c>
      <c r="H59" s="3"/>
      <c r="I59" s="3">
        <v>0</v>
      </c>
      <c r="J59" s="3"/>
      <c r="K59" s="8">
        <f t="shared" si="6"/>
        <v>17155286</v>
      </c>
      <c r="L59" s="3"/>
      <c r="M59" s="3">
        <v>35701522</v>
      </c>
      <c r="N59" s="3"/>
      <c r="O59" s="8">
        <f t="shared" si="0"/>
        <v>4457822</v>
      </c>
      <c r="P59" s="3"/>
      <c r="Q59" s="3">
        <v>16606206</v>
      </c>
      <c r="R59" s="3"/>
      <c r="S59" s="3">
        <v>21064028</v>
      </c>
      <c r="T59" s="3"/>
      <c r="U59" s="3">
        <v>67366</v>
      </c>
      <c r="V59" s="3"/>
      <c r="W59" s="3">
        <v>11221134</v>
      </c>
      <c r="X59" s="3"/>
      <c r="Y59" s="3">
        <v>133033</v>
      </c>
      <c r="Z59" s="3"/>
      <c r="AA59" s="3">
        <v>3272691</v>
      </c>
      <c r="AB59" s="3"/>
      <c r="AC59" s="3">
        <v>-56730</v>
      </c>
      <c r="AD59" s="3"/>
      <c r="AE59" s="27">
        <f t="shared" si="5"/>
        <v>14637494</v>
      </c>
      <c r="AF59" s="3"/>
      <c r="AG59" s="3">
        <f t="shared" si="1"/>
        <v>0</v>
      </c>
      <c r="AJ59" s="3"/>
      <c r="AK59" s="3" t="str">
        <f t="shared" si="2"/>
        <v>Upper Valley JVSD</v>
      </c>
      <c r="AL59" s="20" t="str">
        <f>GenExp!A59</f>
        <v>Upper Valley JVSD</v>
      </c>
      <c r="AM59" s="20" t="b">
        <f t="shared" si="3"/>
        <v>1</v>
      </c>
      <c r="AO59" s="20" t="str">
        <f t="shared" si="4"/>
        <v>Miami</v>
      </c>
      <c r="AP59" s="20" t="b">
        <f>GenExp!C59=C59</f>
        <v>1</v>
      </c>
    </row>
    <row r="60" spans="1:42" s="16" customFormat="1">
      <c r="A60" s="3" t="s">
        <v>261</v>
      </c>
      <c r="C60" s="16" t="s">
        <v>195</v>
      </c>
      <c r="E60" s="16">
        <v>51458</v>
      </c>
      <c r="G60" s="3">
        <f>31253526+431</f>
        <v>31253957</v>
      </c>
      <c r="H60" s="3"/>
      <c r="I60" s="3">
        <v>55852</v>
      </c>
      <c r="J60" s="3"/>
      <c r="K60" s="8">
        <f t="shared" si="6"/>
        <v>13763228</v>
      </c>
      <c r="L60" s="3"/>
      <c r="M60" s="3">
        <v>45073037</v>
      </c>
      <c r="N60" s="3"/>
      <c r="O60" s="8">
        <f t="shared" si="0"/>
        <v>3006040</v>
      </c>
      <c r="P60" s="3"/>
      <c r="Q60" s="3">
        <v>11780353</v>
      </c>
      <c r="R60" s="3"/>
      <c r="S60" s="3">
        <v>14786393</v>
      </c>
      <c r="T60" s="3"/>
      <c r="U60" s="3">
        <f>18189+100851</f>
        <v>119040</v>
      </c>
      <c r="V60" s="3"/>
      <c r="W60" s="3">
        <f>92668+251732+279964+4+409321+16575581</f>
        <v>17609270</v>
      </c>
      <c r="X60" s="3"/>
      <c r="Y60" s="3">
        <v>615910</v>
      </c>
      <c r="Z60" s="3"/>
      <c r="AA60" s="3">
        <f>5450000+1193462</f>
        <v>6643462</v>
      </c>
      <c r="AB60" s="3"/>
      <c r="AC60" s="3">
        <v>5298962</v>
      </c>
      <c r="AD60" s="3"/>
      <c r="AE60" s="27">
        <f t="shared" si="5"/>
        <v>30286644</v>
      </c>
      <c r="AF60" s="3"/>
      <c r="AG60" s="3">
        <f t="shared" si="1"/>
        <v>0</v>
      </c>
      <c r="AJ60" s="32"/>
      <c r="AK60" s="3" t="str">
        <f t="shared" si="2"/>
        <v>Vanguard-Sentinel Career Center</v>
      </c>
      <c r="AL60" s="20" t="str">
        <f>GenExp!A60</f>
        <v>Vanguard-Sentinel Career Center</v>
      </c>
      <c r="AM60" s="20" t="b">
        <f t="shared" si="3"/>
        <v>1</v>
      </c>
      <c r="AO60" s="20" t="str">
        <f t="shared" si="4"/>
        <v>Sandusky</v>
      </c>
      <c r="AP60" s="20" t="b">
        <f>GenExp!C60=C60</f>
        <v>1</v>
      </c>
    </row>
    <row r="61" spans="1:42" s="16" customFormat="1">
      <c r="A61" s="3" t="s">
        <v>262</v>
      </c>
      <c r="C61" s="16" t="s">
        <v>204</v>
      </c>
      <c r="E61" s="16">
        <v>51672</v>
      </c>
      <c r="G61" s="3">
        <v>19663259</v>
      </c>
      <c r="H61" s="3"/>
      <c r="I61" s="3">
        <v>0</v>
      </c>
      <c r="J61" s="3"/>
      <c r="K61" s="8">
        <f t="shared" si="6"/>
        <v>25424748</v>
      </c>
      <c r="L61" s="3"/>
      <c r="M61" s="3">
        <v>45088007</v>
      </c>
      <c r="N61" s="3"/>
      <c r="O61" s="8">
        <f t="shared" si="0"/>
        <v>3071298</v>
      </c>
      <c r="P61" s="3"/>
      <c r="Q61" s="3">
        <f>9585176+3605438</f>
        <v>13190614</v>
      </c>
      <c r="R61" s="3"/>
      <c r="S61" s="3">
        <v>16261912</v>
      </c>
      <c r="T61" s="3"/>
      <c r="U61" s="3">
        <f>85799+42961</f>
        <v>128760</v>
      </c>
      <c r="V61" s="3"/>
      <c r="W61" s="3">
        <f>697729+20852740+486760+450080+125</f>
        <v>22487434</v>
      </c>
      <c r="X61" s="3"/>
      <c r="Y61" s="3">
        <v>3459197</v>
      </c>
      <c r="Z61" s="3"/>
      <c r="AA61" s="3">
        <f>33005+78334+1278+200575</f>
        <v>313192</v>
      </c>
      <c r="AB61" s="3"/>
      <c r="AC61" s="3">
        <v>2437512</v>
      </c>
      <c r="AD61" s="3"/>
      <c r="AE61" s="27">
        <f t="shared" si="5"/>
        <v>28826095</v>
      </c>
      <c r="AF61" s="3"/>
      <c r="AG61" s="3">
        <f t="shared" si="1"/>
        <v>0</v>
      </c>
      <c r="AJ61" s="3"/>
      <c r="AK61" s="3" t="str">
        <f t="shared" si="2"/>
        <v>Vantage Career Center</v>
      </c>
      <c r="AL61" s="20" t="str">
        <f>GenExp!A61</f>
        <v>Vantage Career Center</v>
      </c>
      <c r="AM61" s="20" t="b">
        <f t="shared" si="3"/>
        <v>1</v>
      </c>
      <c r="AO61" s="20" t="str">
        <f t="shared" si="4"/>
        <v>Van Wert</v>
      </c>
      <c r="AP61" s="20" t="b">
        <f>GenExp!C61=C61</f>
        <v>1</v>
      </c>
    </row>
    <row r="62" spans="1:42" s="16" customFormat="1">
      <c r="A62" s="3" t="s">
        <v>228</v>
      </c>
      <c r="C62" s="16" t="s">
        <v>205</v>
      </c>
      <c r="E62" s="16">
        <v>51474</v>
      </c>
      <c r="G62" s="3">
        <f>14296066+11078</f>
        <v>14307144</v>
      </c>
      <c r="H62" s="3"/>
      <c r="I62" s="3">
        <v>22723</v>
      </c>
      <c r="J62" s="3"/>
      <c r="K62" s="8">
        <f t="shared" si="6"/>
        <v>9374401</v>
      </c>
      <c r="L62" s="3"/>
      <c r="M62" s="3">
        <v>23704268</v>
      </c>
      <c r="N62" s="3"/>
      <c r="O62" s="8">
        <f t="shared" si="0"/>
        <v>1290080</v>
      </c>
      <c r="P62" s="3"/>
      <c r="Q62" s="3">
        <v>8468022</v>
      </c>
      <c r="R62" s="3"/>
      <c r="S62" s="3">
        <v>9758102</v>
      </c>
      <c r="T62" s="3"/>
      <c r="U62" s="3">
        <v>94825</v>
      </c>
      <c r="V62" s="3"/>
      <c r="W62" s="3">
        <v>313684</v>
      </c>
      <c r="X62" s="3"/>
      <c r="Y62" s="3">
        <v>0</v>
      </c>
      <c r="Z62" s="3"/>
      <c r="AA62" s="3">
        <v>2270927</v>
      </c>
      <c r="AB62" s="3"/>
      <c r="AC62" s="3">
        <v>11266730</v>
      </c>
      <c r="AD62" s="3"/>
      <c r="AE62" s="27">
        <f t="shared" si="5"/>
        <v>13946166</v>
      </c>
      <c r="AF62" s="3"/>
      <c r="AG62" s="3">
        <f t="shared" si="1"/>
        <v>0</v>
      </c>
      <c r="AJ62" s="3"/>
      <c r="AK62" s="3" t="str">
        <f t="shared" si="2"/>
        <v>Warren County JVSD</v>
      </c>
      <c r="AL62" s="20" t="str">
        <f>GenExp!A62</f>
        <v>Warren County JVSD</v>
      </c>
      <c r="AM62" s="20" t="b">
        <f t="shared" si="3"/>
        <v>1</v>
      </c>
      <c r="AO62" s="20" t="str">
        <f t="shared" si="4"/>
        <v>Warren</v>
      </c>
      <c r="AP62" s="20" t="b">
        <f>GenExp!C62=C62</f>
        <v>1</v>
      </c>
    </row>
    <row r="63" spans="1:42" s="16" customFormat="1">
      <c r="A63" s="3" t="s">
        <v>276</v>
      </c>
      <c r="C63" s="16" t="s">
        <v>206</v>
      </c>
      <c r="E63" s="16">
        <v>51698</v>
      </c>
      <c r="G63" s="3">
        <f>3341291+159</f>
        <v>3341450</v>
      </c>
      <c r="H63" s="3"/>
      <c r="I63" s="3">
        <f>29382+286827</f>
        <v>316209</v>
      </c>
      <c r="J63" s="3"/>
      <c r="K63" s="8">
        <f t="shared" si="6"/>
        <v>2247169</v>
      </c>
      <c r="L63" s="3"/>
      <c r="M63" s="3">
        <v>5904828</v>
      </c>
      <c r="N63" s="3"/>
      <c r="O63" s="8">
        <f t="shared" si="0"/>
        <v>470637</v>
      </c>
      <c r="P63" s="3"/>
      <c r="Q63" s="3">
        <v>2141938</v>
      </c>
      <c r="R63" s="3"/>
      <c r="S63" s="3">
        <v>2612575</v>
      </c>
      <c r="T63" s="3"/>
      <c r="U63" s="3">
        <v>27011</v>
      </c>
      <c r="V63" s="3"/>
      <c r="W63" s="3">
        <v>45928</v>
      </c>
      <c r="X63" s="3"/>
      <c r="Y63" s="3">
        <v>9868</v>
      </c>
      <c r="Z63" s="3"/>
      <c r="AA63" s="3">
        <v>24057</v>
      </c>
      <c r="AB63" s="3"/>
      <c r="AC63" s="3">
        <v>3185389</v>
      </c>
      <c r="AD63" s="3"/>
      <c r="AE63" s="27">
        <f t="shared" si="5"/>
        <v>3292253</v>
      </c>
      <c r="AF63" s="3"/>
      <c r="AG63" s="3">
        <f t="shared" si="1"/>
        <v>0</v>
      </c>
      <c r="AJ63" s="3"/>
      <c r="AK63" s="3" t="str">
        <f t="shared" si="2"/>
        <v>Washington County Career Center</v>
      </c>
      <c r="AL63" s="20" t="str">
        <f>GenExp!A63</f>
        <v>Washington County Career Center</v>
      </c>
      <c r="AM63" s="20" t="b">
        <f t="shared" si="3"/>
        <v>1</v>
      </c>
      <c r="AO63" s="20" t="str">
        <f t="shared" si="4"/>
        <v>Washington</v>
      </c>
      <c r="AP63" s="20" t="b">
        <f>GenExp!C63=C63</f>
        <v>1</v>
      </c>
    </row>
    <row r="64" spans="1:42" s="16" customFormat="1">
      <c r="A64" s="3" t="s">
        <v>263</v>
      </c>
      <c r="C64" s="16" t="s">
        <v>208</v>
      </c>
      <c r="E64" s="16">
        <v>51714</v>
      </c>
      <c r="G64" s="3">
        <v>14288994</v>
      </c>
      <c r="H64" s="3"/>
      <c r="I64" s="3">
        <v>0</v>
      </c>
      <c r="J64" s="3"/>
      <c r="K64" s="8">
        <f t="shared" si="6"/>
        <v>6291039</v>
      </c>
      <c r="L64" s="3"/>
      <c r="M64" s="3">
        <v>20580033</v>
      </c>
      <c r="N64" s="3"/>
      <c r="O64" s="8">
        <f t="shared" si="0"/>
        <v>1932310</v>
      </c>
      <c r="P64" s="3"/>
      <c r="Q64" s="3">
        <v>5591992</v>
      </c>
      <c r="R64" s="3"/>
      <c r="S64" s="3">
        <v>7524302</v>
      </c>
      <c r="T64" s="3"/>
      <c r="U64" s="3">
        <v>0</v>
      </c>
      <c r="V64" s="3"/>
      <c r="W64" s="3">
        <v>7431268</v>
      </c>
      <c r="X64" s="3"/>
      <c r="Y64" s="3">
        <v>0</v>
      </c>
      <c r="Z64" s="3"/>
      <c r="AA64" s="3">
        <v>582603</v>
      </c>
      <c r="AB64" s="3"/>
      <c r="AC64" s="3">
        <v>5041860</v>
      </c>
      <c r="AD64" s="3"/>
      <c r="AE64" s="27">
        <f t="shared" si="5"/>
        <v>13055731</v>
      </c>
      <c r="AF64" s="3"/>
      <c r="AG64" s="3">
        <f t="shared" si="1"/>
        <v>0</v>
      </c>
      <c r="AJ64" s="32"/>
      <c r="AK64" s="3" t="str">
        <f t="shared" si="2"/>
        <v>Wayne County JVSD</v>
      </c>
      <c r="AL64" s="20" t="str">
        <f>GenExp!A64</f>
        <v>Wayne County JVSD</v>
      </c>
      <c r="AM64" s="20" t="b">
        <f t="shared" si="3"/>
        <v>1</v>
      </c>
      <c r="AO64" s="20" t="str">
        <f t="shared" si="4"/>
        <v>Wayne</v>
      </c>
      <c r="AP64" s="20" t="b">
        <f>GenExp!C64=C64</f>
        <v>1</v>
      </c>
    </row>
    <row r="65" spans="1:45" s="16" customFormat="1">
      <c r="A65" s="3"/>
      <c r="G65" s="3"/>
      <c r="H65" s="3"/>
      <c r="I65" s="3"/>
      <c r="J65" s="3"/>
      <c r="K65" s="8"/>
      <c r="L65" s="3"/>
      <c r="M65" s="3"/>
      <c r="N65" s="3"/>
      <c r="O65" s="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7"/>
      <c r="AF65" s="3"/>
      <c r="AG65" s="3"/>
      <c r="AK65" s="3"/>
      <c r="AL65" s="20"/>
      <c r="AM65" s="20"/>
      <c r="AO65" s="20"/>
      <c r="AP65" s="20"/>
    </row>
    <row r="66" spans="1:45" s="16" customFormat="1">
      <c r="A66" s="3"/>
      <c r="G66" s="3"/>
      <c r="H66" s="3"/>
      <c r="I66" s="3"/>
      <c r="J66" s="3"/>
      <c r="K66" s="8"/>
      <c r="L66" s="3"/>
      <c r="M66" s="3"/>
      <c r="N66" s="3"/>
      <c r="O66" s="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7" t="s">
        <v>266</v>
      </c>
      <c r="AF66" s="3"/>
      <c r="AG66" s="3"/>
      <c r="AK66" s="3"/>
      <c r="AL66" s="20"/>
      <c r="AM66" s="20"/>
      <c r="AO66" s="20"/>
      <c r="AP66" s="20"/>
    </row>
    <row r="67" spans="1:45" s="16" customFormat="1">
      <c r="A67" s="40" t="s">
        <v>265</v>
      </c>
      <c r="C67" s="3"/>
      <c r="G67" s="3"/>
      <c r="H67" s="3"/>
      <c r="I67" s="3"/>
      <c r="J67" s="3"/>
      <c r="K67" s="3"/>
      <c r="L67" s="3"/>
      <c r="M67" s="3"/>
      <c r="N67" s="3"/>
      <c r="O67" s="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7"/>
      <c r="AF67" s="3"/>
      <c r="AG67" s="3"/>
      <c r="AK67" s="3"/>
      <c r="AL67" s="20"/>
      <c r="AM67" s="20"/>
      <c r="AO67" s="20"/>
      <c r="AP67" s="20"/>
    </row>
    <row r="68" spans="1:45" s="16" customFormat="1">
      <c r="A68" s="40"/>
      <c r="C68" s="3"/>
      <c r="G68" s="3"/>
      <c r="H68" s="3"/>
      <c r="I68" s="3"/>
      <c r="J68" s="3"/>
      <c r="K68" s="3"/>
      <c r="L68" s="3"/>
      <c r="M68" s="3"/>
      <c r="N68" s="3"/>
      <c r="O68" s="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27"/>
      <c r="AF68" s="3"/>
      <c r="AG68" s="3"/>
      <c r="AK68" s="3"/>
      <c r="AL68" s="20"/>
      <c r="AM68" s="20"/>
      <c r="AO68" s="20"/>
      <c r="AP68" s="20"/>
    </row>
    <row r="69" spans="1:45" s="66" customFormat="1" ht="12.75" hidden="1" customHeight="1">
      <c r="A69" s="65" t="s">
        <v>414</v>
      </c>
      <c r="B69" s="65"/>
      <c r="C69" s="65" t="s">
        <v>272</v>
      </c>
      <c r="E69" s="66">
        <v>45849</v>
      </c>
      <c r="G69" s="65"/>
      <c r="H69" s="65"/>
      <c r="I69" s="65"/>
      <c r="J69" s="65"/>
      <c r="K69" s="70">
        <f>+M69-I69-G69</f>
        <v>0</v>
      </c>
      <c r="L69" s="65"/>
      <c r="M69" s="65"/>
      <c r="N69" s="65"/>
      <c r="O69" s="70">
        <f t="shared" si="0"/>
        <v>0</v>
      </c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73">
        <f>+AA69+Y69+U69+W69</f>
        <v>0</v>
      </c>
      <c r="AF69" s="65"/>
      <c r="AG69" s="65">
        <f t="shared" ref="AG69:AG130" si="7">+G69+I69+K69-O69-Q69-AA69-Y69-U69-W69-AC69</f>
        <v>0</v>
      </c>
      <c r="AJ69" s="66" t="s">
        <v>413</v>
      </c>
      <c r="AK69" s="65" t="str">
        <f t="shared" si="2"/>
        <v>Allen County Educ Srv Ctr (CASH)</v>
      </c>
      <c r="AL69" s="68" t="str">
        <f>GenExp!A69</f>
        <v>Allen County Educ Srv Ctr (CASH)</v>
      </c>
      <c r="AM69" s="68" t="b">
        <f t="shared" si="3"/>
        <v>1</v>
      </c>
      <c r="AO69" s="68" t="str">
        <f t="shared" si="4"/>
        <v>Allen</v>
      </c>
      <c r="AP69" s="68" t="b">
        <f>GenExp!C69=C69</f>
        <v>1</v>
      </c>
    </row>
    <row r="70" spans="1:45" s="66" customFormat="1" hidden="1">
      <c r="A70" s="65" t="s">
        <v>415</v>
      </c>
      <c r="B70" s="65"/>
      <c r="C70" s="65" t="s">
        <v>147</v>
      </c>
      <c r="G70" s="65"/>
      <c r="H70" s="65"/>
      <c r="I70" s="65"/>
      <c r="J70" s="65"/>
      <c r="K70" s="70">
        <f>+M70-I70-G70</f>
        <v>0</v>
      </c>
      <c r="L70" s="65"/>
      <c r="M70" s="65"/>
      <c r="N70" s="65"/>
      <c r="O70" s="70">
        <f t="shared" si="0"/>
        <v>0</v>
      </c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73">
        <f t="shared" ref="AE70:AE130" si="8">+AA70+Y70+U70+W70+AC70</f>
        <v>0</v>
      </c>
      <c r="AG70" s="65">
        <f t="shared" si="7"/>
        <v>0</v>
      </c>
      <c r="AJ70" s="66" t="s">
        <v>377</v>
      </c>
      <c r="AK70" s="65" t="str">
        <f t="shared" si="2"/>
        <v>Ashtabula County Educ Srv Ctr (CASH)</v>
      </c>
      <c r="AL70" s="68" t="str">
        <f>GenExp!A70</f>
        <v>Ashtabula County Educ Srv Ctr (CASH)</v>
      </c>
      <c r="AM70" s="68" t="b">
        <f t="shared" si="3"/>
        <v>1</v>
      </c>
      <c r="AO70" s="68" t="str">
        <f t="shared" si="4"/>
        <v>Ashtabula</v>
      </c>
      <c r="AP70" s="68" t="b">
        <f>GenExp!C70=C70</f>
        <v>1</v>
      </c>
    </row>
    <row r="71" spans="1:45" s="16" customFormat="1">
      <c r="A71" s="3" t="s">
        <v>151</v>
      </c>
      <c r="C71" s="16" t="s">
        <v>148</v>
      </c>
      <c r="E71" s="16">
        <v>135145</v>
      </c>
      <c r="G71" s="20">
        <v>1271989</v>
      </c>
      <c r="H71" s="20"/>
      <c r="I71" s="20">
        <v>0</v>
      </c>
      <c r="J71" s="20"/>
      <c r="K71" s="15">
        <f>+M71-I71-G71</f>
        <v>319073</v>
      </c>
      <c r="L71" s="20"/>
      <c r="M71" s="20">
        <v>1591062</v>
      </c>
      <c r="N71" s="20"/>
      <c r="O71" s="15">
        <f t="shared" si="0"/>
        <v>981125</v>
      </c>
      <c r="P71" s="20"/>
      <c r="Q71" s="20">
        <v>53730</v>
      </c>
      <c r="R71" s="20"/>
      <c r="S71" s="20">
        <v>1034855</v>
      </c>
      <c r="T71" s="20"/>
      <c r="U71" s="20">
        <v>0</v>
      </c>
      <c r="V71" s="20"/>
      <c r="W71" s="20">
        <v>497817</v>
      </c>
      <c r="X71" s="20"/>
      <c r="Y71" s="20">
        <v>0</v>
      </c>
      <c r="Z71" s="20"/>
      <c r="AA71" s="20">
        <v>106058</v>
      </c>
      <c r="AB71" s="20"/>
      <c r="AC71" s="20">
        <v>-47668</v>
      </c>
      <c r="AD71" s="20"/>
      <c r="AE71" s="24">
        <f t="shared" si="8"/>
        <v>556207</v>
      </c>
      <c r="AF71" s="3"/>
      <c r="AG71" s="3">
        <f t="shared" si="7"/>
        <v>0</v>
      </c>
      <c r="AK71" s="3" t="str">
        <f t="shared" si="2"/>
        <v>Athens-Meigs Educ Srv Ctr</v>
      </c>
      <c r="AL71" s="20" t="str">
        <f>GenExp!A71</f>
        <v>Athens-Meigs Educ Srv Ctr</v>
      </c>
      <c r="AM71" s="20" t="b">
        <f t="shared" si="3"/>
        <v>1</v>
      </c>
      <c r="AO71" s="20" t="str">
        <f t="shared" si="4"/>
        <v>Athens</v>
      </c>
      <c r="AP71" s="20" t="b">
        <f>GenExp!C71=C71</f>
        <v>1</v>
      </c>
    </row>
    <row r="72" spans="1:45" s="66" customFormat="1" hidden="1">
      <c r="A72" s="65" t="s">
        <v>416</v>
      </c>
      <c r="B72" s="65"/>
      <c r="C72" s="65" t="s">
        <v>273</v>
      </c>
      <c r="G72" s="65"/>
      <c r="H72" s="65"/>
      <c r="I72" s="65"/>
      <c r="J72" s="65"/>
      <c r="K72" s="70">
        <f>+M72-I72-G72</f>
        <v>0</v>
      </c>
      <c r="L72" s="65"/>
      <c r="M72" s="65"/>
      <c r="N72" s="65"/>
      <c r="O72" s="70">
        <f t="shared" si="0"/>
        <v>0</v>
      </c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73">
        <f t="shared" si="8"/>
        <v>0</v>
      </c>
      <c r="AG72" s="65">
        <f t="shared" si="7"/>
        <v>0</v>
      </c>
      <c r="AH72" s="72"/>
      <c r="AI72" s="72"/>
      <c r="AJ72" s="66" t="s">
        <v>404</v>
      </c>
      <c r="AK72" s="65" t="str">
        <f t="shared" si="2"/>
        <v>Auglaize County Educ Srv Ctr (CASH)</v>
      </c>
      <c r="AL72" s="68" t="str">
        <f>GenExp!A72</f>
        <v>Auglaize County Educ Srv Ctr (CASH)</v>
      </c>
      <c r="AM72" s="68" t="b">
        <f t="shared" si="3"/>
        <v>1</v>
      </c>
      <c r="AN72" s="72"/>
      <c r="AO72" s="68" t="str">
        <f t="shared" si="4"/>
        <v>Auglaize</v>
      </c>
      <c r="AP72" s="68" t="b">
        <f>GenExp!C72=C72</f>
        <v>1</v>
      </c>
      <c r="AQ72" s="72"/>
      <c r="AR72" s="72"/>
      <c r="AS72" s="72"/>
    </row>
    <row r="73" spans="1:45">
      <c r="A73" s="16" t="s">
        <v>322</v>
      </c>
      <c r="B73" s="16"/>
      <c r="C73" s="16" t="s">
        <v>153</v>
      </c>
      <c r="E73" s="16">
        <v>46029</v>
      </c>
      <c r="G73" s="3">
        <v>2151948</v>
      </c>
      <c r="H73" s="3"/>
      <c r="I73" s="3">
        <v>0</v>
      </c>
      <c r="J73" s="3"/>
      <c r="K73" s="8">
        <f>+M73-I73-G73</f>
        <v>128697</v>
      </c>
      <c r="L73" s="3"/>
      <c r="M73" s="3">
        <v>2280645</v>
      </c>
      <c r="N73" s="3"/>
      <c r="O73" s="8">
        <f t="shared" si="0"/>
        <v>490313</v>
      </c>
      <c r="P73" s="3"/>
      <c r="Q73" s="3">
        <v>250</v>
      </c>
      <c r="R73" s="3"/>
      <c r="S73" s="3">
        <v>490563</v>
      </c>
      <c r="T73" s="3"/>
      <c r="U73" s="3">
        <v>96064</v>
      </c>
      <c r="V73" s="3"/>
      <c r="W73" s="3">
        <v>8043</v>
      </c>
      <c r="X73" s="3"/>
      <c r="Y73" s="3">
        <v>15338</v>
      </c>
      <c r="Z73" s="3"/>
      <c r="AA73" s="3">
        <v>41609</v>
      </c>
      <c r="AB73" s="3"/>
      <c r="AC73" s="3">
        <v>1628998</v>
      </c>
      <c r="AD73" s="3"/>
      <c r="AE73" s="27">
        <f t="shared" si="8"/>
        <v>1790052</v>
      </c>
      <c r="AF73" s="16"/>
      <c r="AG73" s="95">
        <f t="shared" si="7"/>
        <v>30</v>
      </c>
      <c r="AJ73" s="3" t="s">
        <v>405</v>
      </c>
      <c r="AK73" s="3" t="str">
        <f t="shared" si="2"/>
        <v>Brown County Educ Srv Ctr</v>
      </c>
      <c r="AL73" s="20" t="str">
        <f>GenExp!A73</f>
        <v>Brown County Educ Srv Ctr</v>
      </c>
      <c r="AM73" s="20" t="b">
        <f t="shared" si="3"/>
        <v>1</v>
      </c>
      <c r="AO73" s="20" t="str">
        <f t="shared" si="4"/>
        <v>Brown</v>
      </c>
      <c r="AP73" s="20" t="b">
        <f>GenExp!C73=C73</f>
        <v>1</v>
      </c>
    </row>
    <row r="74" spans="1:45" s="16" customFormat="1">
      <c r="A74" s="16" t="s">
        <v>323</v>
      </c>
      <c r="C74" s="16" t="s">
        <v>150</v>
      </c>
      <c r="E74" s="16">
        <v>46086</v>
      </c>
      <c r="G74" s="3">
        <v>1093084</v>
      </c>
      <c r="H74" s="3"/>
      <c r="I74" s="3">
        <v>0</v>
      </c>
      <c r="J74" s="3"/>
      <c r="K74" s="8">
        <f t="shared" ref="K74:K130" si="9">+M74-I74-G74</f>
        <v>3426938</v>
      </c>
      <c r="L74" s="3"/>
      <c r="M74" s="3">
        <v>4520022</v>
      </c>
      <c r="N74" s="3"/>
      <c r="O74" s="8">
        <f t="shared" si="0"/>
        <v>1089143</v>
      </c>
      <c r="P74" s="3"/>
      <c r="Q74" s="3">
        <v>2654490</v>
      </c>
      <c r="R74" s="3"/>
      <c r="S74" s="3">
        <v>3743633</v>
      </c>
      <c r="T74" s="3"/>
      <c r="U74" s="3">
        <v>0</v>
      </c>
      <c r="V74" s="3"/>
      <c r="W74" s="3">
        <v>225190</v>
      </c>
      <c r="X74" s="3"/>
      <c r="Y74" s="3">
        <v>0</v>
      </c>
      <c r="Z74" s="3"/>
      <c r="AA74" s="3">
        <v>243250</v>
      </c>
      <c r="AB74" s="3"/>
      <c r="AC74" s="3">
        <v>307949</v>
      </c>
      <c r="AD74" s="3"/>
      <c r="AE74" s="27">
        <f t="shared" si="8"/>
        <v>776389</v>
      </c>
      <c r="AG74" s="3">
        <f t="shared" si="7"/>
        <v>0</v>
      </c>
      <c r="AJ74" s="3"/>
      <c r="AK74" s="3" t="str">
        <f t="shared" si="2"/>
        <v>Butler County Educ Srv Ctr</v>
      </c>
      <c r="AL74" s="20" t="str">
        <f>GenExp!A74</f>
        <v>Butler County Educ Srv Ctr</v>
      </c>
      <c r="AM74" s="20" t="b">
        <f t="shared" si="3"/>
        <v>1</v>
      </c>
      <c r="AO74" s="20" t="str">
        <f t="shared" si="4"/>
        <v>Butler</v>
      </c>
      <c r="AP74" s="20" t="b">
        <f>GenExp!C74=C74</f>
        <v>1</v>
      </c>
    </row>
    <row r="75" spans="1:45" s="16" customFormat="1">
      <c r="A75" s="16" t="s">
        <v>324</v>
      </c>
      <c r="C75" s="16" t="s">
        <v>155</v>
      </c>
      <c r="E75" s="16">
        <v>46227</v>
      </c>
      <c r="G75" s="3">
        <v>1665420</v>
      </c>
      <c r="H75" s="3"/>
      <c r="I75" s="3">
        <v>429771</v>
      </c>
      <c r="J75" s="3"/>
      <c r="K75" s="8">
        <f t="shared" si="9"/>
        <v>363185</v>
      </c>
      <c r="L75" s="3"/>
      <c r="M75" s="3">
        <v>2458376</v>
      </c>
      <c r="N75" s="3"/>
      <c r="O75" s="8">
        <f t="shared" si="0"/>
        <v>741791</v>
      </c>
      <c r="P75" s="3"/>
      <c r="Q75" s="3">
        <v>72398</v>
      </c>
      <c r="R75" s="3"/>
      <c r="S75" s="3">
        <v>814189</v>
      </c>
      <c r="T75" s="3"/>
      <c r="U75" s="3">
        <v>0</v>
      </c>
      <c r="V75" s="3"/>
      <c r="W75" s="3">
        <f>99417+2277+429771</f>
        <v>531465</v>
      </c>
      <c r="X75" s="3"/>
      <c r="Y75" s="3">
        <v>0</v>
      </c>
      <c r="Z75" s="3"/>
      <c r="AA75" s="3">
        <f>325000+44439</f>
        <v>369439</v>
      </c>
      <c r="AB75" s="3"/>
      <c r="AC75" s="3">
        <v>743283</v>
      </c>
      <c r="AD75" s="3"/>
      <c r="AE75" s="27">
        <f t="shared" si="8"/>
        <v>1644187</v>
      </c>
      <c r="AG75" s="3">
        <f t="shared" si="7"/>
        <v>0</v>
      </c>
      <c r="AJ75" s="3"/>
      <c r="AK75" s="3" t="str">
        <f t="shared" si="2"/>
        <v>Clark County Educ Srv Ctr</v>
      </c>
      <c r="AL75" s="20" t="str">
        <f>GenExp!A75</f>
        <v>Clark County Educ Srv Ctr</v>
      </c>
      <c r="AM75" s="20" t="b">
        <f t="shared" si="3"/>
        <v>1</v>
      </c>
      <c r="AO75" s="20" t="str">
        <f t="shared" si="4"/>
        <v>Clark</v>
      </c>
      <c r="AP75" s="20" t="b">
        <f>GenExp!C75=C75</f>
        <v>1</v>
      </c>
    </row>
    <row r="76" spans="1:45" s="16" customFormat="1">
      <c r="A76" s="3" t="s">
        <v>156</v>
      </c>
      <c r="C76" s="16" t="s">
        <v>157</v>
      </c>
      <c r="E76" s="16">
        <v>46292</v>
      </c>
      <c r="G76" s="3">
        <v>5478960</v>
      </c>
      <c r="H76" s="3"/>
      <c r="I76" s="3">
        <v>0</v>
      </c>
      <c r="J76" s="3"/>
      <c r="K76" s="8">
        <f t="shared" si="9"/>
        <v>1511150</v>
      </c>
      <c r="L76" s="3"/>
      <c r="M76" s="3">
        <v>6990110</v>
      </c>
      <c r="N76" s="3"/>
      <c r="O76" s="8">
        <f t="shared" si="0"/>
        <v>2402787</v>
      </c>
      <c r="P76" s="3"/>
      <c r="Q76" s="3">
        <v>0</v>
      </c>
      <c r="R76" s="3"/>
      <c r="S76" s="3">
        <v>2402787</v>
      </c>
      <c r="T76" s="3"/>
      <c r="U76" s="3">
        <v>0</v>
      </c>
      <c r="V76" s="3"/>
      <c r="W76" s="3">
        <v>6407</v>
      </c>
      <c r="X76" s="3"/>
      <c r="Y76" s="3">
        <v>0</v>
      </c>
      <c r="Z76" s="3"/>
      <c r="AA76" s="3">
        <v>45963</v>
      </c>
      <c r="AB76" s="3"/>
      <c r="AC76" s="3">
        <v>4534953</v>
      </c>
      <c r="AD76" s="3"/>
      <c r="AE76" s="27">
        <f t="shared" si="8"/>
        <v>4587323</v>
      </c>
      <c r="AG76" s="3">
        <f t="shared" si="7"/>
        <v>0</v>
      </c>
      <c r="AJ76" s="3" t="s">
        <v>425</v>
      </c>
      <c r="AK76" s="3" t="str">
        <f t="shared" si="2"/>
        <v>Clermont County Educ Srv Ctr</v>
      </c>
      <c r="AL76" s="20" t="str">
        <f>GenExp!A76</f>
        <v>Clermont County Educ Srv Ctr</v>
      </c>
      <c r="AM76" s="20" t="b">
        <f t="shared" si="3"/>
        <v>1</v>
      </c>
      <c r="AO76" s="20" t="str">
        <f t="shared" si="4"/>
        <v>Clermont</v>
      </c>
      <c r="AP76" s="20" t="b">
        <f>GenExp!C76=C76</f>
        <v>1</v>
      </c>
    </row>
    <row r="77" spans="1:45" s="66" customFormat="1" hidden="1">
      <c r="A77" s="66" t="s">
        <v>294</v>
      </c>
      <c r="C77" s="66" t="s">
        <v>158</v>
      </c>
      <c r="E77" s="66">
        <v>46375</v>
      </c>
      <c r="G77" s="65"/>
      <c r="H77" s="65"/>
      <c r="I77" s="65"/>
      <c r="J77" s="65"/>
      <c r="K77" s="70">
        <f t="shared" si="9"/>
        <v>0</v>
      </c>
      <c r="L77" s="65"/>
      <c r="M77" s="65"/>
      <c r="N77" s="65"/>
      <c r="O77" s="70">
        <f t="shared" si="0"/>
        <v>0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73">
        <f t="shared" si="8"/>
        <v>0</v>
      </c>
      <c r="AG77" s="65">
        <f t="shared" si="7"/>
        <v>0</v>
      </c>
      <c r="AJ77" s="66" t="s">
        <v>314</v>
      </c>
      <c r="AK77" s="65" t="str">
        <f t="shared" si="2"/>
        <v>Clinton Fayette Highland Educ-now Southern Ohio ESC</v>
      </c>
      <c r="AL77" s="68" t="str">
        <f>GenExp!A77</f>
        <v>Clinton Fayette Highland Educ-now Southern Ohio ESC</v>
      </c>
      <c r="AM77" s="68" t="b">
        <f t="shared" si="3"/>
        <v>1</v>
      </c>
      <c r="AO77" s="68" t="str">
        <f t="shared" si="4"/>
        <v>Clinton</v>
      </c>
      <c r="AP77" s="68" t="b">
        <f>GenExp!C77=C77</f>
        <v>1</v>
      </c>
    </row>
    <row r="78" spans="1:45" s="16" customFormat="1">
      <c r="A78" s="16" t="s">
        <v>345</v>
      </c>
      <c r="C78" s="16" t="s">
        <v>159</v>
      </c>
      <c r="E78" s="16">
        <v>46417</v>
      </c>
      <c r="G78" s="3">
        <f>1258420+6345</f>
        <v>1264765</v>
      </c>
      <c r="H78" s="3"/>
      <c r="I78" s="3">
        <v>0</v>
      </c>
      <c r="J78" s="3"/>
      <c r="K78" s="8">
        <f t="shared" si="9"/>
        <v>566363</v>
      </c>
      <c r="L78" s="3"/>
      <c r="M78" s="3">
        <v>1831128</v>
      </c>
      <c r="N78" s="3"/>
      <c r="O78" s="8">
        <f t="shared" si="0"/>
        <v>1077682</v>
      </c>
      <c r="P78" s="3"/>
      <c r="Q78" s="3">
        <f>133823+8525</f>
        <v>142348</v>
      </c>
      <c r="R78" s="3"/>
      <c r="S78" s="3">
        <v>1220030</v>
      </c>
      <c r="T78" s="3"/>
      <c r="U78" s="3">
        <f>1203+3135</f>
        <v>4338</v>
      </c>
      <c r="V78" s="3"/>
      <c r="W78" s="3">
        <v>8189</v>
      </c>
      <c r="X78" s="3"/>
      <c r="Y78" s="3">
        <v>56359</v>
      </c>
      <c r="Z78" s="3"/>
      <c r="AA78" s="3">
        <f>3789+61133+894</f>
        <v>65816</v>
      </c>
      <c r="AB78" s="3"/>
      <c r="AC78" s="3">
        <v>476396</v>
      </c>
      <c r="AD78" s="3"/>
      <c r="AE78" s="27">
        <f t="shared" si="8"/>
        <v>611098</v>
      </c>
      <c r="AG78" s="3">
        <f t="shared" si="7"/>
        <v>0</v>
      </c>
      <c r="AJ78" s="3"/>
      <c r="AK78" s="3" t="str">
        <f t="shared" si="2"/>
        <v>Columbiana County Educ Srv Ctr</v>
      </c>
      <c r="AL78" s="20" t="str">
        <f>GenExp!A78</f>
        <v>Columbiana County Educ Srv Ctr</v>
      </c>
      <c r="AM78" s="20" t="b">
        <f t="shared" si="3"/>
        <v>1</v>
      </c>
      <c r="AO78" s="20" t="str">
        <f t="shared" si="4"/>
        <v>Columbiana</v>
      </c>
      <c r="AP78" s="20" t="b">
        <f>GenExp!C78=C78</f>
        <v>1</v>
      </c>
    </row>
    <row r="79" spans="1:45" s="16" customFormat="1">
      <c r="A79" s="3" t="s">
        <v>347</v>
      </c>
      <c r="C79" s="16" t="s">
        <v>160</v>
      </c>
      <c r="E79" s="16">
        <v>46532</v>
      </c>
      <c r="G79" s="3">
        <v>23830627</v>
      </c>
      <c r="H79" s="3"/>
      <c r="I79" s="3">
        <v>70923</v>
      </c>
      <c r="J79" s="3"/>
      <c r="K79" s="8">
        <f t="shared" si="9"/>
        <v>10565389</v>
      </c>
      <c r="L79" s="3"/>
      <c r="M79" s="3">
        <v>34466939</v>
      </c>
      <c r="N79" s="3"/>
      <c r="O79" s="8">
        <f t="shared" si="0"/>
        <v>11530255</v>
      </c>
      <c r="P79" s="3"/>
      <c r="Q79" s="3">
        <v>973189</v>
      </c>
      <c r="R79" s="3"/>
      <c r="S79" s="3">
        <v>12503444</v>
      </c>
      <c r="T79" s="3"/>
      <c r="U79" s="3">
        <v>70923</v>
      </c>
      <c r="V79" s="3"/>
      <c r="W79" s="3">
        <v>117969</v>
      </c>
      <c r="X79" s="3"/>
      <c r="Y79" s="3">
        <v>0</v>
      </c>
      <c r="Z79" s="3"/>
      <c r="AA79" s="3">
        <v>3388231</v>
      </c>
      <c r="AB79" s="3"/>
      <c r="AC79" s="3">
        <v>18386372</v>
      </c>
      <c r="AD79" s="3"/>
      <c r="AE79" s="27">
        <f t="shared" si="8"/>
        <v>21963495</v>
      </c>
      <c r="AG79" s="3">
        <f t="shared" si="7"/>
        <v>0</v>
      </c>
      <c r="AJ79" s="16" t="s">
        <v>315</v>
      </c>
      <c r="AK79" s="3" t="str">
        <f t="shared" si="2"/>
        <v>Cuyahoga Educ Srv Ctr-now Educ Srv Ctr of Cuyahoga County</v>
      </c>
      <c r="AL79" s="20" t="str">
        <f>GenExp!A79</f>
        <v>Cuyahoga Educ Srv Ctr-now Educ Srv Ctr of Cuyahoga County</v>
      </c>
      <c r="AM79" s="20" t="b">
        <f t="shared" si="3"/>
        <v>1</v>
      </c>
      <c r="AO79" s="20" t="str">
        <f t="shared" ref="AO79:AO130" si="10">C79</f>
        <v>Cuyahoga</v>
      </c>
      <c r="AP79" s="20" t="b">
        <f>GenExp!C79=C79</f>
        <v>1</v>
      </c>
    </row>
    <row r="80" spans="1:45" s="66" customFormat="1" hidden="1">
      <c r="A80" s="65" t="s">
        <v>376</v>
      </c>
      <c r="C80" s="66" t="s">
        <v>161</v>
      </c>
      <c r="E80" s="66">
        <v>46615</v>
      </c>
      <c r="G80" s="65"/>
      <c r="H80" s="65"/>
      <c r="I80" s="65"/>
      <c r="J80" s="65"/>
      <c r="K80" s="70">
        <f t="shared" si="9"/>
        <v>0</v>
      </c>
      <c r="L80" s="65"/>
      <c r="M80" s="65"/>
      <c r="N80" s="65"/>
      <c r="O80" s="70">
        <f t="shared" si="0"/>
        <v>0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73">
        <f t="shared" si="8"/>
        <v>0</v>
      </c>
      <c r="AG80" s="65">
        <f t="shared" si="7"/>
        <v>0</v>
      </c>
      <c r="AJ80" s="66" t="s">
        <v>377</v>
      </c>
      <c r="AK80" s="65" t="str">
        <f t="shared" ref="AK80:AK130" si="11">A80</f>
        <v>Darke County Educ Srv Ctr (CASH)</v>
      </c>
      <c r="AL80" s="68" t="str">
        <f>GenExp!A80</f>
        <v>Darke County Educ Srv Ctr (CASH)</v>
      </c>
      <c r="AM80" s="68" t="b">
        <f t="shared" ref="AM80:AM130" si="12">AK80=AL80</f>
        <v>1</v>
      </c>
      <c r="AO80" s="68" t="str">
        <f t="shared" si="10"/>
        <v>Darke</v>
      </c>
      <c r="AP80" s="68" t="b">
        <f>GenExp!C80=C80</f>
        <v>1</v>
      </c>
    </row>
    <row r="81" spans="1:42" s="66" customFormat="1" hidden="1">
      <c r="A81" s="65" t="s">
        <v>346</v>
      </c>
      <c r="C81" s="66" t="s">
        <v>162</v>
      </c>
      <c r="E81" s="66">
        <v>46730</v>
      </c>
      <c r="G81" s="65"/>
      <c r="H81" s="65"/>
      <c r="I81" s="65"/>
      <c r="J81" s="65"/>
      <c r="K81" s="70">
        <f t="shared" si="9"/>
        <v>0</v>
      </c>
      <c r="L81" s="65"/>
      <c r="M81" s="65"/>
      <c r="N81" s="65"/>
      <c r="O81" s="70">
        <f t="shared" ref="O81:O130" si="13">+S81-Q81</f>
        <v>0</v>
      </c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73">
        <f t="shared" si="8"/>
        <v>0</v>
      </c>
      <c r="AG81" s="65">
        <f t="shared" si="7"/>
        <v>0</v>
      </c>
      <c r="AJ81" s="66" t="s">
        <v>316</v>
      </c>
      <c r="AK81" s="65" t="str">
        <f t="shared" si="11"/>
        <v>Delaware-Union Educ Srv Ctr - see note to right</v>
      </c>
      <c r="AL81" s="68" t="str">
        <f>GenExp!A81</f>
        <v>Delaware-Union Educ Srv Ctr - see note to right</v>
      </c>
      <c r="AM81" s="68" t="b">
        <f t="shared" si="12"/>
        <v>1</v>
      </c>
      <c r="AO81" s="68" t="str">
        <f t="shared" si="10"/>
        <v>Delaware</v>
      </c>
      <c r="AP81" s="68" t="b">
        <f>GenExp!C81=C81</f>
        <v>1</v>
      </c>
    </row>
    <row r="82" spans="1:42" s="16" customFormat="1">
      <c r="A82" s="3" t="s">
        <v>344</v>
      </c>
      <c r="C82" s="16" t="s">
        <v>202</v>
      </c>
      <c r="G82" s="3">
        <v>1734469</v>
      </c>
      <c r="H82" s="3"/>
      <c r="I82" s="3">
        <v>0</v>
      </c>
      <c r="J82" s="3"/>
      <c r="K82" s="8">
        <f t="shared" si="9"/>
        <v>372123</v>
      </c>
      <c r="L82" s="3"/>
      <c r="M82" s="3">
        <v>2106592</v>
      </c>
      <c r="N82" s="3"/>
      <c r="O82" s="8">
        <f t="shared" si="13"/>
        <v>904102</v>
      </c>
      <c r="P82" s="3"/>
      <c r="Q82" s="3">
        <v>147222</v>
      </c>
      <c r="R82" s="3"/>
      <c r="S82" s="3">
        <v>1051324</v>
      </c>
      <c r="T82" s="3"/>
      <c r="U82" s="3">
        <v>0</v>
      </c>
      <c r="V82" s="3"/>
      <c r="W82" s="3">
        <v>45651</v>
      </c>
      <c r="X82" s="3"/>
      <c r="Y82" s="3">
        <v>0</v>
      </c>
      <c r="Z82" s="3"/>
      <c r="AA82" s="3">
        <v>0</v>
      </c>
      <c r="AB82" s="3"/>
      <c r="AC82" s="3">
        <v>1009617</v>
      </c>
      <c r="AD82" s="3"/>
      <c r="AE82" s="27">
        <f t="shared" ref="AE82" si="14">+AA82+Y82+U82+W82+AC82</f>
        <v>1055268</v>
      </c>
      <c r="AG82" s="3">
        <f t="shared" ref="AG82" si="15">+G82+I82+K82-O82-Q82-AA82-Y82-U82-W82-AC82</f>
        <v>0</v>
      </c>
      <c r="AJ82" s="16" t="s">
        <v>317</v>
      </c>
      <c r="AK82" s="3" t="str">
        <f t="shared" si="11"/>
        <v>East Central Ohio Educ Srv Ctr</v>
      </c>
      <c r="AL82" s="20" t="str">
        <f>GenExp!A82</f>
        <v>East Central Ohio Educ Srv Ctr</v>
      </c>
      <c r="AM82" s="20" t="b">
        <f t="shared" si="12"/>
        <v>1</v>
      </c>
      <c r="AO82" s="20" t="str">
        <f t="shared" si="10"/>
        <v>Tuscarawas</v>
      </c>
      <c r="AP82" s="20" t="b">
        <f>GenExp!C82=C82</f>
        <v>1</v>
      </c>
    </row>
    <row r="83" spans="1:42" s="16" customFormat="1">
      <c r="A83" s="3" t="s">
        <v>382</v>
      </c>
      <c r="C83" s="16" t="s">
        <v>165</v>
      </c>
      <c r="E83" s="16">
        <v>46938</v>
      </c>
      <c r="G83" s="3">
        <v>12358437</v>
      </c>
      <c r="H83" s="3"/>
      <c r="I83" s="3">
        <v>0</v>
      </c>
      <c r="J83" s="3"/>
      <c r="K83" s="8">
        <f>+M83-I83-G83</f>
        <v>8595495</v>
      </c>
      <c r="L83" s="3"/>
      <c r="M83" s="3">
        <v>20953932</v>
      </c>
      <c r="N83" s="3"/>
      <c r="O83" s="8">
        <f>+S83-Q83</f>
        <v>5224819</v>
      </c>
      <c r="P83" s="3"/>
      <c r="Q83" s="3">
        <f>1899655+1532260</f>
        <v>3431915</v>
      </c>
      <c r="R83" s="3"/>
      <c r="S83" s="3">
        <v>8656734</v>
      </c>
      <c r="T83" s="3"/>
      <c r="U83" s="3">
        <f>71822+4889</f>
        <v>76711</v>
      </c>
      <c r="V83" s="3"/>
      <c r="W83" s="3">
        <f>850+95434</f>
        <v>96284</v>
      </c>
      <c r="X83" s="3"/>
      <c r="Y83" s="3">
        <v>371672</v>
      </c>
      <c r="Z83" s="3"/>
      <c r="AA83" s="3">
        <f>65297+829975</f>
        <v>895272</v>
      </c>
      <c r="AB83" s="3"/>
      <c r="AC83" s="3">
        <v>10857259</v>
      </c>
      <c r="AD83" s="3"/>
      <c r="AE83" s="27">
        <f>+AA83+Y83+U83+W83+AC83</f>
        <v>12297198</v>
      </c>
      <c r="AG83" s="3">
        <f>+G83+I83+K83-O83-Q83-AA83-Y83-U83-W83-AC83</f>
        <v>0</v>
      </c>
      <c r="AJ83" s="16" t="s">
        <v>319</v>
      </c>
      <c r="AK83" s="3" t="str">
        <f>A83</f>
        <v>Educational Service Center of Central Ohio</v>
      </c>
      <c r="AL83" s="20" t="str">
        <f>GenExp!A83</f>
        <v>Educational Service Center of Central Ohio</v>
      </c>
      <c r="AM83" s="20" t="b">
        <f>AK83=AL83</f>
        <v>1</v>
      </c>
      <c r="AO83" s="20" t="str">
        <f>C83</f>
        <v>Franklin</v>
      </c>
      <c r="AP83" s="20" t="b">
        <f>GenExp!C83=C83</f>
        <v>1</v>
      </c>
    </row>
    <row r="84" spans="1:42" s="66" customFormat="1" hidden="1">
      <c r="A84" s="66" t="s">
        <v>292</v>
      </c>
      <c r="C84" s="66" t="s">
        <v>163</v>
      </c>
      <c r="E84" s="66">
        <v>125690</v>
      </c>
      <c r="G84" s="65"/>
      <c r="H84" s="65"/>
      <c r="I84" s="65"/>
      <c r="J84" s="65"/>
      <c r="K84" s="70">
        <f t="shared" si="9"/>
        <v>0</v>
      </c>
      <c r="L84" s="65"/>
      <c r="M84" s="65"/>
      <c r="N84" s="65"/>
      <c r="O84" s="70">
        <f t="shared" si="13"/>
        <v>0</v>
      </c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73">
        <f t="shared" si="8"/>
        <v>0</v>
      </c>
      <c r="AG84" s="65">
        <f t="shared" si="7"/>
        <v>0</v>
      </c>
      <c r="AJ84" s="66" t="s">
        <v>318</v>
      </c>
      <c r="AK84" s="65" t="str">
        <f t="shared" si="11"/>
        <v>Erie-Huron-Ottawa Educ Srv Ctr-now North Point ESC</v>
      </c>
      <c r="AL84" s="68" t="str">
        <f>GenExp!A84</f>
        <v>Erie-Huron-Ottawa Educ Srv Ctr-now North Point ESC</v>
      </c>
      <c r="AM84" s="68" t="b">
        <f t="shared" si="12"/>
        <v>1</v>
      </c>
      <c r="AO84" s="68" t="str">
        <f t="shared" si="10"/>
        <v>Erie</v>
      </c>
      <c r="AP84" s="68" t="b">
        <f>GenExp!C84=C84</f>
        <v>1</v>
      </c>
    </row>
    <row r="85" spans="1:42" s="16" customFormat="1">
      <c r="A85" s="3" t="s">
        <v>385</v>
      </c>
      <c r="C85" s="16" t="s">
        <v>164</v>
      </c>
      <c r="E85" s="16">
        <v>46839</v>
      </c>
      <c r="G85" s="3">
        <v>1690918</v>
      </c>
      <c r="H85" s="3"/>
      <c r="I85" s="3">
        <v>0</v>
      </c>
      <c r="J85" s="3"/>
      <c r="K85" s="8">
        <f t="shared" si="9"/>
        <v>561344</v>
      </c>
      <c r="L85" s="3"/>
      <c r="M85" s="3">
        <v>2252262</v>
      </c>
      <c r="N85" s="3"/>
      <c r="O85" s="8">
        <f t="shared" si="13"/>
        <v>1098471</v>
      </c>
      <c r="P85" s="3"/>
      <c r="Q85" s="3">
        <v>0</v>
      </c>
      <c r="R85" s="3"/>
      <c r="S85" s="3">
        <v>1098471</v>
      </c>
      <c r="T85" s="3"/>
      <c r="U85" s="3">
        <v>7951</v>
      </c>
      <c r="V85" s="3"/>
      <c r="W85" s="3">
        <v>8407</v>
      </c>
      <c r="X85" s="3"/>
      <c r="Y85" s="3">
        <v>0</v>
      </c>
      <c r="Z85" s="3"/>
      <c r="AA85" s="3">
        <v>17192</v>
      </c>
      <c r="AB85" s="3"/>
      <c r="AC85" s="3">
        <v>1120241</v>
      </c>
      <c r="AD85" s="3"/>
      <c r="AE85" s="27">
        <f t="shared" si="8"/>
        <v>1153791</v>
      </c>
      <c r="AG85" s="3">
        <f t="shared" si="7"/>
        <v>0</v>
      </c>
      <c r="AK85" s="3" t="str">
        <f t="shared" si="11"/>
        <v>Fairfield County Educ Srv Ctr</v>
      </c>
      <c r="AL85" s="20" t="str">
        <f>GenExp!A85</f>
        <v>Fairfield County Educ Srv Ctr</v>
      </c>
      <c r="AM85" s="20" t="b">
        <f t="shared" si="12"/>
        <v>1</v>
      </c>
      <c r="AO85" s="20" t="str">
        <f t="shared" si="10"/>
        <v>Fairfield</v>
      </c>
      <c r="AP85" s="20" t="b">
        <f>GenExp!C85=C85</f>
        <v>1</v>
      </c>
    </row>
    <row r="86" spans="1:42" s="16" customFormat="1">
      <c r="A86" s="3" t="s">
        <v>167</v>
      </c>
      <c r="C86" s="16" t="s">
        <v>168</v>
      </c>
      <c r="E86" s="16">
        <v>125682</v>
      </c>
      <c r="G86" s="3">
        <v>1099717</v>
      </c>
      <c r="H86" s="3"/>
      <c r="I86" s="3">
        <v>0</v>
      </c>
      <c r="J86" s="3"/>
      <c r="K86" s="8">
        <f t="shared" si="9"/>
        <v>276371</v>
      </c>
      <c r="L86" s="3"/>
      <c r="M86" s="3">
        <v>1376088</v>
      </c>
      <c r="N86" s="3"/>
      <c r="O86" s="8">
        <f t="shared" si="13"/>
        <v>71397</v>
      </c>
      <c r="P86" s="3"/>
      <c r="Q86" s="3">
        <v>0</v>
      </c>
      <c r="R86" s="3"/>
      <c r="S86" s="3">
        <v>71397</v>
      </c>
      <c r="T86" s="3"/>
      <c r="U86" s="3">
        <v>0</v>
      </c>
      <c r="V86" s="3"/>
      <c r="W86" s="3">
        <v>249580</v>
      </c>
      <c r="X86" s="3"/>
      <c r="Y86" s="3">
        <v>0</v>
      </c>
      <c r="Z86" s="3"/>
      <c r="AA86" s="3">
        <v>0</v>
      </c>
      <c r="AB86" s="3"/>
      <c r="AC86" s="3">
        <v>1055111</v>
      </c>
      <c r="AD86" s="3"/>
      <c r="AE86" s="27">
        <f t="shared" si="8"/>
        <v>1304691</v>
      </c>
      <c r="AG86" s="3">
        <f t="shared" si="7"/>
        <v>0</v>
      </c>
      <c r="AH86" s="33"/>
      <c r="AI86" s="33"/>
      <c r="AJ86" s="3"/>
      <c r="AK86" s="3" t="str">
        <f t="shared" si="11"/>
        <v>Gallia-Vinton Educ Srv Ctr</v>
      </c>
      <c r="AL86" s="20" t="str">
        <f>GenExp!A86</f>
        <v>Gallia-Vinton Educ Srv Ctr</v>
      </c>
      <c r="AM86" s="20" t="b">
        <f t="shared" si="12"/>
        <v>1</v>
      </c>
      <c r="AO86" s="20" t="str">
        <f t="shared" si="10"/>
        <v>Gallia</v>
      </c>
      <c r="AP86" s="20" t="b">
        <f>GenExp!C86=C86</f>
        <v>1</v>
      </c>
    </row>
    <row r="87" spans="1:42" s="16" customFormat="1">
      <c r="A87" s="88" t="s">
        <v>384</v>
      </c>
      <c r="C87" s="16" t="s">
        <v>169</v>
      </c>
      <c r="E87" s="16">
        <v>47159</v>
      </c>
      <c r="G87" s="3">
        <v>2019291</v>
      </c>
      <c r="H87" s="3"/>
      <c r="I87" s="3">
        <v>0</v>
      </c>
      <c r="J87" s="3"/>
      <c r="K87" s="8">
        <f t="shared" si="9"/>
        <v>146599</v>
      </c>
      <c r="L87" s="3"/>
      <c r="M87" s="3">
        <v>2165890</v>
      </c>
      <c r="N87" s="3"/>
      <c r="O87" s="8">
        <f t="shared" si="13"/>
        <v>1081962</v>
      </c>
      <c r="P87" s="3"/>
      <c r="Q87" s="3">
        <v>0</v>
      </c>
      <c r="R87" s="3"/>
      <c r="S87" s="3">
        <v>1081962</v>
      </c>
      <c r="T87" s="3"/>
      <c r="U87" s="3">
        <v>0</v>
      </c>
      <c r="V87" s="3"/>
      <c r="W87" s="3">
        <v>11607</v>
      </c>
      <c r="X87" s="3"/>
      <c r="Y87" s="3">
        <v>0</v>
      </c>
      <c r="Z87" s="3"/>
      <c r="AA87" s="3">
        <v>2324</v>
      </c>
      <c r="AB87" s="3"/>
      <c r="AC87" s="3">
        <v>1069997</v>
      </c>
      <c r="AD87" s="3"/>
      <c r="AE87" s="27">
        <f t="shared" si="8"/>
        <v>1083928</v>
      </c>
      <c r="AG87" s="3">
        <f t="shared" si="7"/>
        <v>0</v>
      </c>
      <c r="AJ87" s="89"/>
      <c r="AK87" s="3" t="str">
        <f t="shared" si="11"/>
        <v>Geauga County Educ Srv Ctr</v>
      </c>
      <c r="AL87" s="20" t="str">
        <f>GenExp!A87</f>
        <v>Geauga County Educ Srv Ctr</v>
      </c>
      <c r="AM87" s="20" t="b">
        <f t="shared" si="12"/>
        <v>1</v>
      </c>
      <c r="AO87" s="20" t="str">
        <f t="shared" si="10"/>
        <v>Geauga</v>
      </c>
      <c r="AP87" s="20" t="b">
        <f>GenExp!C87=C87</f>
        <v>1</v>
      </c>
    </row>
    <row r="88" spans="1:42" s="16" customFormat="1">
      <c r="A88" s="16" t="s">
        <v>328</v>
      </c>
      <c r="C88" s="16" t="s">
        <v>170</v>
      </c>
      <c r="E88" s="16">
        <v>47233</v>
      </c>
      <c r="G88" s="3">
        <v>3485941</v>
      </c>
      <c r="H88" s="3"/>
      <c r="I88" s="3">
        <v>0</v>
      </c>
      <c r="J88" s="3"/>
      <c r="K88" s="8">
        <f t="shared" si="9"/>
        <v>507505</v>
      </c>
      <c r="L88" s="3"/>
      <c r="M88" s="3">
        <v>3993446</v>
      </c>
      <c r="N88" s="3"/>
      <c r="O88" s="8">
        <f t="shared" si="13"/>
        <v>1895191</v>
      </c>
      <c r="P88" s="3"/>
      <c r="Q88" s="3">
        <v>271705</v>
      </c>
      <c r="R88" s="3"/>
      <c r="S88" s="3">
        <v>2166896</v>
      </c>
      <c r="T88" s="3"/>
      <c r="U88" s="3">
        <v>6184</v>
      </c>
      <c r="V88" s="3"/>
      <c r="W88" s="3">
        <v>64249</v>
      </c>
      <c r="X88" s="3"/>
      <c r="Y88" s="3">
        <v>10750</v>
      </c>
      <c r="Z88" s="3"/>
      <c r="AA88" s="3">
        <v>47354</v>
      </c>
      <c r="AB88" s="3"/>
      <c r="AC88" s="3">
        <v>1698013</v>
      </c>
      <c r="AD88" s="3"/>
      <c r="AE88" s="27">
        <f t="shared" si="8"/>
        <v>1826550</v>
      </c>
      <c r="AG88" s="3">
        <f t="shared" si="7"/>
        <v>0</v>
      </c>
      <c r="AJ88" s="3"/>
      <c r="AK88" s="3" t="str">
        <f t="shared" si="11"/>
        <v>Greene County Educ Srv Ctr</v>
      </c>
      <c r="AL88" s="20" t="str">
        <f>GenExp!A88</f>
        <v>Greene County Educ Srv Ctr</v>
      </c>
      <c r="AM88" s="20" t="b">
        <f t="shared" si="12"/>
        <v>1</v>
      </c>
      <c r="AO88" s="20" t="str">
        <f t="shared" si="10"/>
        <v>Greene</v>
      </c>
      <c r="AP88" s="20" t="b">
        <f>GenExp!C88=C88</f>
        <v>1</v>
      </c>
    </row>
    <row r="89" spans="1:42" s="16" customFormat="1">
      <c r="A89" s="16" t="s">
        <v>329</v>
      </c>
      <c r="C89" s="16" t="s">
        <v>171</v>
      </c>
      <c r="E89" s="16">
        <v>47324</v>
      </c>
      <c r="G89" s="3">
        <v>12437721</v>
      </c>
      <c r="H89" s="3"/>
      <c r="I89" s="3">
        <v>0</v>
      </c>
      <c r="J89" s="3"/>
      <c r="K89" s="8">
        <f t="shared" si="9"/>
        <v>4588564</v>
      </c>
      <c r="L89" s="3"/>
      <c r="M89" s="3">
        <v>17026285</v>
      </c>
      <c r="N89" s="3"/>
      <c r="O89" s="8">
        <f t="shared" si="13"/>
        <v>6921308</v>
      </c>
      <c r="P89" s="3"/>
      <c r="Q89" s="3">
        <v>1755449</v>
      </c>
      <c r="R89" s="3"/>
      <c r="S89" s="3">
        <v>8676757</v>
      </c>
      <c r="T89" s="3"/>
      <c r="U89" s="3">
        <v>5335</v>
      </c>
      <c r="V89" s="3"/>
      <c r="W89" s="3">
        <v>2008565</v>
      </c>
      <c r="X89" s="3"/>
      <c r="Y89" s="3">
        <v>0</v>
      </c>
      <c r="Z89" s="3"/>
      <c r="AA89" s="3">
        <v>1612941</v>
      </c>
      <c r="AB89" s="3"/>
      <c r="AC89" s="3">
        <v>4722687</v>
      </c>
      <c r="AD89" s="3"/>
      <c r="AE89" s="27">
        <f t="shared" si="8"/>
        <v>8349528</v>
      </c>
      <c r="AG89" s="3">
        <f t="shared" si="7"/>
        <v>0</v>
      </c>
      <c r="AJ89" s="3"/>
      <c r="AK89" s="3" t="str">
        <f t="shared" si="11"/>
        <v>Hamilton County Educ Srv Ctr</v>
      </c>
      <c r="AL89" s="20" t="str">
        <f>GenExp!A89</f>
        <v>Hamilton County Educ Srv Ctr</v>
      </c>
      <c r="AM89" s="20" t="b">
        <f t="shared" si="12"/>
        <v>1</v>
      </c>
      <c r="AO89" s="20" t="str">
        <f t="shared" si="10"/>
        <v>Hamilton</v>
      </c>
      <c r="AP89" s="20" t="b">
        <f>GenExp!C89=C89</f>
        <v>1</v>
      </c>
    </row>
    <row r="90" spans="1:42" s="16" customFormat="1">
      <c r="A90" s="16" t="s">
        <v>330</v>
      </c>
      <c r="C90" s="16" t="s">
        <v>172</v>
      </c>
      <c r="E90" s="16">
        <v>47407</v>
      </c>
      <c r="G90" s="3">
        <v>960560</v>
      </c>
      <c r="H90" s="3"/>
      <c r="I90" s="3">
        <v>0</v>
      </c>
      <c r="J90" s="3"/>
      <c r="K90" s="8">
        <f t="shared" si="9"/>
        <v>39696</v>
      </c>
      <c r="L90" s="3"/>
      <c r="M90" s="3">
        <v>1000256</v>
      </c>
      <c r="N90" s="3"/>
      <c r="O90" s="8">
        <f t="shared" si="13"/>
        <v>643433</v>
      </c>
      <c r="P90" s="3"/>
      <c r="Q90" s="3">
        <v>3205</v>
      </c>
      <c r="R90" s="3"/>
      <c r="S90" s="3">
        <v>646638</v>
      </c>
      <c r="T90" s="3"/>
      <c r="U90" s="3">
        <v>4175</v>
      </c>
      <c r="V90" s="3"/>
      <c r="W90" s="3">
        <v>12983</v>
      </c>
      <c r="X90" s="3"/>
      <c r="Y90" s="3">
        <v>0</v>
      </c>
      <c r="Z90" s="3"/>
      <c r="AA90" s="3">
        <v>17962</v>
      </c>
      <c r="AB90" s="3"/>
      <c r="AC90" s="3">
        <v>318498</v>
      </c>
      <c r="AD90" s="3"/>
      <c r="AE90" s="27">
        <f t="shared" si="8"/>
        <v>353618</v>
      </c>
      <c r="AG90" s="3">
        <f t="shared" si="7"/>
        <v>0</v>
      </c>
      <c r="AJ90" s="3"/>
      <c r="AK90" s="3" t="str">
        <f t="shared" si="11"/>
        <v>Hancock County Educ Srv Ctr</v>
      </c>
      <c r="AL90" s="20" t="str">
        <f>GenExp!A90</f>
        <v>Hancock County Educ Srv Ctr</v>
      </c>
      <c r="AM90" s="20" t="b">
        <f t="shared" si="12"/>
        <v>1</v>
      </c>
      <c r="AO90" s="20" t="str">
        <f t="shared" si="10"/>
        <v>Hancock</v>
      </c>
      <c r="AP90" s="20" t="b">
        <f>GenExp!C90=C90</f>
        <v>1</v>
      </c>
    </row>
    <row r="91" spans="1:42" s="16" customFormat="1">
      <c r="A91" s="16" t="s">
        <v>331</v>
      </c>
      <c r="C91" s="16" t="s">
        <v>21</v>
      </c>
      <c r="E91" s="16">
        <v>47480</v>
      </c>
      <c r="G91" s="3">
        <v>1023770</v>
      </c>
      <c r="H91" s="3"/>
      <c r="I91" s="3">
        <v>0</v>
      </c>
      <c r="J91" s="3"/>
      <c r="K91" s="8">
        <f t="shared" si="9"/>
        <v>753429</v>
      </c>
      <c r="L91" s="3"/>
      <c r="M91" s="3">
        <v>1777199</v>
      </c>
      <c r="N91" s="3"/>
      <c r="O91" s="8">
        <f t="shared" si="13"/>
        <v>706225</v>
      </c>
      <c r="P91" s="3"/>
      <c r="Q91" s="3">
        <v>476267</v>
      </c>
      <c r="R91" s="3"/>
      <c r="S91" s="3">
        <v>1182492</v>
      </c>
      <c r="T91" s="3"/>
      <c r="U91" s="3">
        <v>0</v>
      </c>
      <c r="V91" s="3"/>
      <c r="W91" s="3">
        <v>29936</v>
      </c>
      <c r="X91" s="3"/>
      <c r="Y91" s="3">
        <v>0</v>
      </c>
      <c r="Z91" s="3"/>
      <c r="AA91" s="3">
        <v>23899</v>
      </c>
      <c r="AB91" s="3"/>
      <c r="AC91" s="3">
        <v>540872</v>
      </c>
      <c r="AD91" s="3"/>
      <c r="AE91" s="27">
        <f t="shared" si="8"/>
        <v>594707</v>
      </c>
      <c r="AG91" s="3">
        <f t="shared" si="7"/>
        <v>0</v>
      </c>
      <c r="AJ91" s="3"/>
      <c r="AK91" s="3" t="str">
        <f t="shared" si="11"/>
        <v>Hardin County Educ Srv Ctr</v>
      </c>
      <c r="AL91" s="20" t="str">
        <f>GenExp!A91</f>
        <v>Hardin County Educ Srv Ctr</v>
      </c>
      <c r="AM91" s="20" t="b">
        <f t="shared" si="12"/>
        <v>1</v>
      </c>
      <c r="AO91" s="20" t="str">
        <f t="shared" si="10"/>
        <v>Hardin</v>
      </c>
      <c r="AP91" s="20" t="b">
        <f>GenExp!C91=C91</f>
        <v>1</v>
      </c>
    </row>
    <row r="92" spans="1:42" s="16" customFormat="1">
      <c r="A92" s="16" t="s">
        <v>332</v>
      </c>
      <c r="C92" s="16" t="s">
        <v>173</v>
      </c>
      <c r="E92" s="16">
        <v>47779</v>
      </c>
      <c r="G92" s="3">
        <v>3309923</v>
      </c>
      <c r="H92" s="3"/>
      <c r="I92" s="3">
        <v>0</v>
      </c>
      <c r="J92" s="3"/>
      <c r="K92" s="8">
        <f t="shared" si="9"/>
        <v>175924</v>
      </c>
      <c r="L92" s="3"/>
      <c r="M92" s="3">
        <v>3485847</v>
      </c>
      <c r="N92" s="3"/>
      <c r="O92" s="8">
        <f t="shared" si="13"/>
        <v>461495</v>
      </c>
      <c r="P92" s="3"/>
      <c r="Q92" s="3">
        <v>216</v>
      </c>
      <c r="R92" s="3"/>
      <c r="S92" s="3">
        <v>461711</v>
      </c>
      <c r="T92" s="3"/>
      <c r="U92" s="3">
        <f>2629+54195</f>
        <v>56824</v>
      </c>
      <c r="V92" s="3"/>
      <c r="W92" s="3">
        <v>8526</v>
      </c>
      <c r="X92" s="3"/>
      <c r="Y92" s="3">
        <v>0</v>
      </c>
      <c r="Z92" s="3"/>
      <c r="AA92" s="3">
        <f>26834+293</f>
        <v>27127</v>
      </c>
      <c r="AB92" s="3"/>
      <c r="AC92" s="3">
        <v>2931659</v>
      </c>
      <c r="AD92" s="3"/>
      <c r="AE92" s="27">
        <f t="shared" si="8"/>
        <v>3024136</v>
      </c>
      <c r="AG92" s="3">
        <f t="shared" si="7"/>
        <v>0</v>
      </c>
      <c r="AJ92" s="3"/>
      <c r="AK92" s="3" t="str">
        <f t="shared" si="11"/>
        <v>Jefferson County Educ Srv Ctr</v>
      </c>
      <c r="AL92" s="20" t="str">
        <f>GenExp!A92</f>
        <v>Jefferson County Educ Srv Ctr</v>
      </c>
      <c r="AM92" s="20" t="b">
        <f t="shared" si="12"/>
        <v>1</v>
      </c>
      <c r="AO92" s="20" t="str">
        <f t="shared" si="10"/>
        <v>Jefferson</v>
      </c>
      <c r="AP92" s="20" t="b">
        <f>GenExp!C92=C92</f>
        <v>1</v>
      </c>
    </row>
    <row r="93" spans="1:42" s="16" customFormat="1">
      <c r="A93" s="16" t="s">
        <v>333</v>
      </c>
      <c r="C93" s="16" t="s">
        <v>174</v>
      </c>
      <c r="E93" s="16">
        <v>47811</v>
      </c>
      <c r="G93" s="3">
        <v>53522</v>
      </c>
      <c r="H93" s="3"/>
      <c r="I93" s="3">
        <v>0</v>
      </c>
      <c r="J93" s="3"/>
      <c r="K93" s="8">
        <f t="shared" si="9"/>
        <v>231441</v>
      </c>
      <c r="L93" s="3"/>
      <c r="M93" s="3">
        <v>284963</v>
      </c>
      <c r="N93" s="3"/>
      <c r="O93" s="8">
        <f t="shared" si="13"/>
        <v>395319</v>
      </c>
      <c r="P93" s="3"/>
      <c r="Q93" s="3">
        <v>0</v>
      </c>
      <c r="R93" s="3"/>
      <c r="S93" s="3">
        <v>395319</v>
      </c>
      <c r="T93" s="3"/>
      <c r="U93" s="3">
        <v>0</v>
      </c>
      <c r="V93" s="3"/>
      <c r="W93" s="3">
        <v>89229</v>
      </c>
      <c r="X93" s="3"/>
      <c r="Y93" s="3">
        <v>0</v>
      </c>
      <c r="Z93" s="3"/>
      <c r="AA93" s="3">
        <v>38253</v>
      </c>
      <c r="AB93" s="3"/>
      <c r="AC93" s="3">
        <v>-237838</v>
      </c>
      <c r="AD93" s="3"/>
      <c r="AE93" s="27">
        <f t="shared" si="8"/>
        <v>-110356</v>
      </c>
      <c r="AG93" s="3">
        <f t="shared" si="7"/>
        <v>0</v>
      </c>
      <c r="AJ93" s="3"/>
      <c r="AK93" s="3" t="str">
        <f t="shared" si="11"/>
        <v>Knox County Educ Srv Ctr</v>
      </c>
      <c r="AL93" s="20" t="str">
        <f>GenExp!A93</f>
        <v>Knox County Educ Srv Ctr</v>
      </c>
      <c r="AM93" s="20" t="b">
        <f t="shared" si="12"/>
        <v>1</v>
      </c>
      <c r="AO93" s="20" t="str">
        <f t="shared" si="10"/>
        <v>Knox</v>
      </c>
      <c r="AP93" s="20" t="b">
        <f>GenExp!C93=C93</f>
        <v>1</v>
      </c>
    </row>
    <row r="94" spans="1:42" s="16" customFormat="1">
      <c r="A94" s="16" t="s">
        <v>334</v>
      </c>
      <c r="C94" s="16" t="s">
        <v>149</v>
      </c>
      <c r="E94" s="16">
        <v>47860</v>
      </c>
      <c r="G94" s="3">
        <v>2144361</v>
      </c>
      <c r="H94" s="3"/>
      <c r="I94" s="3">
        <v>0</v>
      </c>
      <c r="J94" s="3"/>
      <c r="K94" s="8">
        <f t="shared" si="9"/>
        <v>3915053</v>
      </c>
      <c r="L94" s="3"/>
      <c r="M94" s="3">
        <v>6059414</v>
      </c>
      <c r="N94" s="3"/>
      <c r="O94" s="8">
        <f t="shared" si="13"/>
        <v>1386810</v>
      </c>
      <c r="P94" s="3"/>
      <c r="Q94" s="3">
        <v>3563729</v>
      </c>
      <c r="R94" s="3"/>
      <c r="S94" s="3">
        <v>4950539</v>
      </c>
      <c r="T94" s="3"/>
      <c r="U94" s="3">
        <v>0</v>
      </c>
      <c r="V94" s="3"/>
      <c r="W94" s="3">
        <v>140241</v>
      </c>
      <c r="X94" s="3"/>
      <c r="Y94" s="3">
        <v>0</v>
      </c>
      <c r="Z94" s="3"/>
      <c r="AA94" s="3">
        <v>114722</v>
      </c>
      <c r="AB94" s="3"/>
      <c r="AC94" s="3">
        <v>853912</v>
      </c>
      <c r="AD94" s="3"/>
      <c r="AE94" s="27">
        <f t="shared" si="8"/>
        <v>1108875</v>
      </c>
      <c r="AG94" s="3">
        <f t="shared" si="7"/>
        <v>0</v>
      </c>
      <c r="AJ94" s="16" t="s">
        <v>387</v>
      </c>
      <c r="AK94" s="3" t="str">
        <f t="shared" si="11"/>
        <v>Lake County Educ Srv Ctr</v>
      </c>
      <c r="AL94" s="20" t="str">
        <f>GenExp!A94</f>
        <v>Lake County Educ Srv Ctr</v>
      </c>
      <c r="AM94" s="20" t="b">
        <f t="shared" si="12"/>
        <v>1</v>
      </c>
      <c r="AO94" s="20" t="str">
        <f t="shared" si="10"/>
        <v>Lake</v>
      </c>
      <c r="AP94" s="20" t="b">
        <f>GenExp!C94=C94</f>
        <v>1</v>
      </c>
    </row>
    <row r="95" spans="1:42" s="16" customFormat="1">
      <c r="A95" s="16" t="s">
        <v>335</v>
      </c>
      <c r="C95" s="16" t="s">
        <v>175</v>
      </c>
      <c r="E95" s="16">
        <v>47910</v>
      </c>
      <c r="G95" s="3">
        <v>642813</v>
      </c>
      <c r="H95" s="3"/>
      <c r="I95" s="3">
        <v>0</v>
      </c>
      <c r="J95" s="3"/>
      <c r="K95" s="8">
        <f t="shared" si="9"/>
        <v>92306</v>
      </c>
      <c r="L95" s="3"/>
      <c r="M95" s="3">
        <v>735119</v>
      </c>
      <c r="N95" s="3"/>
      <c r="O95" s="8">
        <f t="shared" si="13"/>
        <v>86656</v>
      </c>
      <c r="P95" s="3"/>
      <c r="Q95" s="3">
        <v>0</v>
      </c>
      <c r="R95" s="3"/>
      <c r="S95" s="3">
        <v>86656</v>
      </c>
      <c r="T95" s="3"/>
      <c r="U95" s="3">
        <v>0</v>
      </c>
      <c r="V95" s="3"/>
      <c r="W95" s="3">
        <v>42541</v>
      </c>
      <c r="X95" s="3"/>
      <c r="Y95" s="3">
        <v>0</v>
      </c>
      <c r="Z95" s="3"/>
      <c r="AA95" s="3">
        <v>15690</v>
      </c>
      <c r="AB95" s="3"/>
      <c r="AC95" s="3">
        <v>590232</v>
      </c>
      <c r="AD95" s="3"/>
      <c r="AE95" s="27">
        <f t="shared" si="8"/>
        <v>648463</v>
      </c>
      <c r="AG95" s="3">
        <f t="shared" si="7"/>
        <v>0</v>
      </c>
      <c r="AJ95" s="90" t="s">
        <v>320</v>
      </c>
      <c r="AK95" s="3" t="str">
        <f t="shared" si="11"/>
        <v>Lawrence County Educ Srv Ctr</v>
      </c>
      <c r="AL95" s="20" t="str">
        <f>GenExp!A95</f>
        <v>Lawrence County Educ Srv Ctr</v>
      </c>
      <c r="AM95" s="20" t="b">
        <f t="shared" si="12"/>
        <v>1</v>
      </c>
      <c r="AO95" s="20" t="str">
        <f t="shared" si="10"/>
        <v>Lawrence</v>
      </c>
      <c r="AP95" s="20" t="b">
        <f>GenExp!C95=C95</f>
        <v>1</v>
      </c>
    </row>
    <row r="96" spans="1:42" s="16" customFormat="1">
      <c r="A96" s="3" t="s">
        <v>336</v>
      </c>
      <c r="B96" s="3"/>
      <c r="C96" s="3" t="s">
        <v>176</v>
      </c>
      <c r="G96" s="3">
        <v>1340187</v>
      </c>
      <c r="H96" s="3"/>
      <c r="I96" s="3">
        <v>0</v>
      </c>
      <c r="J96" s="3"/>
      <c r="K96" s="8">
        <f>+M96-I96-G96</f>
        <v>1994052</v>
      </c>
      <c r="L96" s="3"/>
      <c r="M96" s="3">
        <v>3334239</v>
      </c>
      <c r="N96" s="3"/>
      <c r="O96" s="8">
        <f t="shared" si="13"/>
        <v>1204303</v>
      </c>
      <c r="P96" s="3"/>
      <c r="Q96" s="3">
        <v>1968705</v>
      </c>
      <c r="R96" s="3"/>
      <c r="S96" s="3">
        <v>3173008</v>
      </c>
      <c r="T96" s="3"/>
      <c r="U96" s="3">
        <v>4774</v>
      </c>
      <c r="V96" s="3"/>
      <c r="W96" s="3">
        <v>33819</v>
      </c>
      <c r="X96" s="3"/>
      <c r="Y96" s="3">
        <v>57872</v>
      </c>
      <c r="Z96" s="3"/>
      <c r="AA96" s="3">
        <v>98244</v>
      </c>
      <c r="AB96" s="3"/>
      <c r="AC96" s="3">
        <v>-33478</v>
      </c>
      <c r="AD96" s="3"/>
      <c r="AE96" s="27">
        <f t="shared" si="8"/>
        <v>161231</v>
      </c>
      <c r="AG96" s="3">
        <f t="shared" si="7"/>
        <v>0</v>
      </c>
      <c r="AJ96" s="3"/>
      <c r="AK96" s="3" t="str">
        <f t="shared" si="11"/>
        <v>Licking County Educ Srv Ctr</v>
      </c>
      <c r="AL96" s="20" t="str">
        <f>GenExp!A96</f>
        <v>Licking County Educ Srv Ctr</v>
      </c>
      <c r="AM96" s="20" t="b">
        <f t="shared" si="12"/>
        <v>1</v>
      </c>
      <c r="AO96" s="20" t="str">
        <f t="shared" si="10"/>
        <v>Licking</v>
      </c>
      <c r="AP96" s="20" t="b">
        <f>GenExp!C96=C96</f>
        <v>1</v>
      </c>
    </row>
    <row r="97" spans="1:42" s="16" customFormat="1">
      <c r="A97" s="16" t="s">
        <v>337</v>
      </c>
      <c r="C97" s="16" t="s">
        <v>177</v>
      </c>
      <c r="E97" s="16">
        <v>48058</v>
      </c>
      <c r="G97" s="3">
        <v>943372</v>
      </c>
      <c r="H97" s="3"/>
      <c r="I97" s="3">
        <v>0</v>
      </c>
      <c r="J97" s="3"/>
      <c r="K97" s="8">
        <f t="shared" si="9"/>
        <v>156328</v>
      </c>
      <c r="L97" s="3"/>
      <c r="M97" s="3">
        <v>1099700</v>
      </c>
      <c r="N97" s="3"/>
      <c r="O97" s="8">
        <f t="shared" si="13"/>
        <v>379689</v>
      </c>
      <c r="P97" s="3"/>
      <c r="Q97" s="3">
        <v>0</v>
      </c>
      <c r="R97" s="3"/>
      <c r="S97" s="3">
        <v>379689</v>
      </c>
      <c r="T97" s="3"/>
      <c r="U97" s="3">
        <v>0</v>
      </c>
      <c r="V97" s="3"/>
      <c r="W97" s="3">
        <v>352348</v>
      </c>
      <c r="X97" s="3"/>
      <c r="Y97" s="3">
        <v>0</v>
      </c>
      <c r="Z97" s="3"/>
      <c r="AA97" s="3">
        <v>24876</v>
      </c>
      <c r="AB97" s="3"/>
      <c r="AC97" s="3">
        <v>342787</v>
      </c>
      <c r="AD97" s="3"/>
      <c r="AE97" s="27">
        <f t="shared" si="8"/>
        <v>720011</v>
      </c>
      <c r="AG97" s="3">
        <f t="shared" si="7"/>
        <v>0</v>
      </c>
      <c r="AJ97" s="90" t="s">
        <v>320</v>
      </c>
      <c r="AK97" s="3" t="str">
        <f t="shared" si="11"/>
        <v>Logan County Educ Srv Ctr</v>
      </c>
      <c r="AL97" s="20" t="str">
        <f>GenExp!A97</f>
        <v>Logan County Educ Srv Ctr</v>
      </c>
      <c r="AM97" s="20" t="b">
        <f t="shared" si="12"/>
        <v>1</v>
      </c>
      <c r="AO97" s="20" t="str">
        <f t="shared" si="10"/>
        <v>Logan</v>
      </c>
      <c r="AP97" s="20" t="b">
        <f>GenExp!C97=C97</f>
        <v>1</v>
      </c>
    </row>
    <row r="98" spans="1:42" s="16" customFormat="1">
      <c r="A98" s="16" t="s">
        <v>338</v>
      </c>
      <c r="C98" s="16" t="s">
        <v>145</v>
      </c>
      <c r="E98" s="16">
        <v>48108</v>
      </c>
      <c r="G98" s="3">
        <v>2560686</v>
      </c>
      <c r="H98" s="3"/>
      <c r="I98" s="3">
        <v>0</v>
      </c>
      <c r="J98" s="3"/>
      <c r="K98" s="8">
        <f t="shared" si="9"/>
        <v>1098016</v>
      </c>
      <c r="L98" s="3"/>
      <c r="M98" s="3">
        <v>3658702</v>
      </c>
      <c r="N98" s="3"/>
      <c r="O98" s="8">
        <f t="shared" si="13"/>
        <v>1117063</v>
      </c>
      <c r="P98" s="3"/>
      <c r="Q98" s="3">
        <v>0</v>
      </c>
      <c r="R98" s="3"/>
      <c r="S98" s="3">
        <v>1117063</v>
      </c>
      <c r="T98" s="3"/>
      <c r="U98" s="3">
        <v>0</v>
      </c>
      <c r="V98" s="3"/>
      <c r="W98" s="3">
        <v>100720</v>
      </c>
      <c r="X98" s="3"/>
      <c r="Y98" s="3">
        <v>0</v>
      </c>
      <c r="Z98" s="3"/>
      <c r="AA98" s="3">
        <v>320791</v>
      </c>
      <c r="AB98" s="3"/>
      <c r="AC98" s="3">
        <v>2120128</v>
      </c>
      <c r="AD98" s="3"/>
      <c r="AE98" s="27">
        <f t="shared" si="8"/>
        <v>2541639</v>
      </c>
      <c r="AG98" s="3">
        <f t="shared" si="7"/>
        <v>0</v>
      </c>
      <c r="AJ98" s="16" t="s">
        <v>388</v>
      </c>
      <c r="AK98" s="3" t="str">
        <f t="shared" si="11"/>
        <v>Lorain County Educ Srv Ctr</v>
      </c>
      <c r="AL98" s="20" t="str">
        <f>GenExp!A98</f>
        <v>Lorain County Educ Srv Ctr</v>
      </c>
      <c r="AM98" s="20" t="b">
        <f t="shared" si="12"/>
        <v>1</v>
      </c>
      <c r="AO98" s="20" t="str">
        <f t="shared" si="10"/>
        <v>Lorain</v>
      </c>
      <c r="AP98" s="20" t="b">
        <f>GenExp!C98=C98</f>
        <v>1</v>
      </c>
    </row>
    <row r="99" spans="1:42" s="16" customFormat="1">
      <c r="A99" s="16" t="s">
        <v>339</v>
      </c>
      <c r="C99" s="16" t="s">
        <v>178</v>
      </c>
      <c r="E99" s="16">
        <v>48199</v>
      </c>
      <c r="G99" s="3">
        <v>5064789</v>
      </c>
      <c r="H99" s="3"/>
      <c r="I99" s="3">
        <v>0</v>
      </c>
      <c r="J99" s="3"/>
      <c r="K99" s="8">
        <f t="shared" si="9"/>
        <v>1584067</v>
      </c>
      <c r="L99" s="3"/>
      <c r="M99" s="3">
        <v>6648856</v>
      </c>
      <c r="N99" s="3"/>
      <c r="O99" s="8">
        <f t="shared" si="13"/>
        <v>2133372</v>
      </c>
      <c r="P99" s="3"/>
      <c r="Q99" s="3">
        <v>663551</v>
      </c>
      <c r="R99" s="3"/>
      <c r="S99" s="3">
        <v>2796923</v>
      </c>
      <c r="T99" s="3"/>
      <c r="U99" s="3">
        <v>0</v>
      </c>
      <c r="V99" s="3"/>
      <c r="W99" s="3">
        <f>11052+196412+41322+1349+705090</f>
        <v>955225</v>
      </c>
      <c r="X99" s="3"/>
      <c r="Y99" s="3">
        <f>249312+233468+827024+183531</f>
        <v>1493335</v>
      </c>
      <c r="Z99" s="3"/>
      <c r="AA99" s="3">
        <f>22637+145268</f>
        <v>167905</v>
      </c>
      <c r="AB99" s="3"/>
      <c r="AC99" s="3">
        <v>1235468</v>
      </c>
      <c r="AD99" s="3"/>
      <c r="AE99" s="27">
        <f t="shared" si="8"/>
        <v>3851933</v>
      </c>
      <c r="AG99" s="3">
        <f t="shared" si="7"/>
        <v>0</v>
      </c>
      <c r="AJ99" s="3"/>
      <c r="AK99" s="3" t="str">
        <f t="shared" si="11"/>
        <v>Lucas County Educ Srv Ctr</v>
      </c>
      <c r="AL99" s="20" t="str">
        <f>GenExp!A99</f>
        <v>Lucas County Educ Srv Ctr</v>
      </c>
      <c r="AM99" s="20" t="b">
        <f t="shared" si="12"/>
        <v>1</v>
      </c>
      <c r="AO99" s="20" t="str">
        <f t="shared" si="10"/>
        <v>Lucas</v>
      </c>
      <c r="AP99" s="20" t="b">
        <f>GenExp!C99=C99</f>
        <v>1</v>
      </c>
    </row>
    <row r="100" spans="1:42" s="66" customFormat="1" hidden="1">
      <c r="A100" s="65" t="s">
        <v>391</v>
      </c>
      <c r="C100" s="66" t="s">
        <v>154</v>
      </c>
      <c r="E100" s="66">
        <v>137364</v>
      </c>
      <c r="G100" s="65"/>
      <c r="H100" s="65"/>
      <c r="I100" s="65"/>
      <c r="J100" s="65"/>
      <c r="K100" s="70">
        <f t="shared" si="9"/>
        <v>0</v>
      </c>
      <c r="L100" s="65"/>
      <c r="M100" s="65"/>
      <c r="N100" s="65"/>
      <c r="O100" s="70">
        <f t="shared" si="13"/>
        <v>0</v>
      </c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73">
        <f t="shared" si="8"/>
        <v>0</v>
      </c>
      <c r="AG100" s="65">
        <f t="shared" si="7"/>
        <v>0</v>
      </c>
      <c r="AJ100" s="65" t="s">
        <v>390</v>
      </c>
      <c r="AK100" s="65" t="str">
        <f t="shared" si="11"/>
        <v>Madison-Champaign Educ Srv Ctr (CASH)</v>
      </c>
      <c r="AL100" s="68" t="str">
        <f>GenExp!A100</f>
        <v>Madison-Champaign Educ Srv Ctr (CASH)</v>
      </c>
      <c r="AM100" s="68" t="b">
        <f t="shared" si="12"/>
        <v>1</v>
      </c>
      <c r="AO100" s="68" t="str">
        <f t="shared" si="10"/>
        <v>Champaign</v>
      </c>
      <c r="AP100" s="68" t="b">
        <f>GenExp!C100=C100</f>
        <v>1</v>
      </c>
    </row>
    <row r="101" spans="1:42" s="16" customFormat="1">
      <c r="A101" s="3" t="s">
        <v>392</v>
      </c>
      <c r="C101" s="16" t="s">
        <v>179</v>
      </c>
      <c r="E101" s="16">
        <v>48280</v>
      </c>
      <c r="G101" s="3">
        <v>2408786</v>
      </c>
      <c r="H101" s="3"/>
      <c r="I101" s="3">
        <v>0</v>
      </c>
      <c r="J101" s="3"/>
      <c r="K101" s="8">
        <f t="shared" si="9"/>
        <v>4525659</v>
      </c>
      <c r="L101" s="3"/>
      <c r="M101" s="3">
        <v>6934445</v>
      </c>
      <c r="N101" s="3"/>
      <c r="O101" s="8">
        <f t="shared" si="13"/>
        <v>2433284</v>
      </c>
      <c r="P101" s="3"/>
      <c r="Q101" s="3">
        <v>3289178</v>
      </c>
      <c r="R101" s="3"/>
      <c r="S101" s="3">
        <v>5722462</v>
      </c>
      <c r="T101" s="3"/>
      <c r="U101" s="3">
        <f>19058+2614</f>
        <v>21672</v>
      </c>
      <c r="V101" s="3"/>
      <c r="W101" s="3">
        <f>19115+58535+30254+569832</f>
        <v>677736</v>
      </c>
      <c r="X101" s="3"/>
      <c r="Y101" s="3">
        <v>380000</v>
      </c>
      <c r="Z101" s="3"/>
      <c r="AA101" s="3">
        <f>150691+88427+44353</f>
        <v>283471</v>
      </c>
      <c r="AB101" s="3"/>
      <c r="AC101" s="3">
        <v>-150896</v>
      </c>
      <c r="AD101" s="3"/>
      <c r="AE101" s="27">
        <f t="shared" si="8"/>
        <v>1211983</v>
      </c>
      <c r="AG101" s="3">
        <f t="shared" si="7"/>
        <v>0</v>
      </c>
      <c r="AJ101" s="3"/>
      <c r="AK101" s="3" t="str">
        <f t="shared" si="11"/>
        <v>Mahoning County Educ Srv Ctr</v>
      </c>
      <c r="AL101" s="20" t="str">
        <f>GenExp!A101</f>
        <v>Mahoning County Educ Srv Ctr</v>
      </c>
      <c r="AM101" s="20" t="b">
        <f t="shared" si="12"/>
        <v>1</v>
      </c>
      <c r="AO101" s="20" t="str">
        <f t="shared" si="10"/>
        <v>Mahoning</v>
      </c>
      <c r="AP101" s="20" t="b">
        <f>GenExp!C101=C101</f>
        <v>1</v>
      </c>
    </row>
    <row r="102" spans="1:42" s="16" customFormat="1">
      <c r="A102" s="3" t="s">
        <v>180</v>
      </c>
      <c r="C102" s="16" t="s">
        <v>181</v>
      </c>
      <c r="E102" s="16">
        <v>48454</v>
      </c>
      <c r="G102" s="3">
        <v>1950771</v>
      </c>
      <c r="H102" s="3"/>
      <c r="I102" s="3">
        <v>0</v>
      </c>
      <c r="J102" s="3"/>
      <c r="K102" s="8">
        <f t="shared" si="9"/>
        <v>61019</v>
      </c>
      <c r="L102" s="3"/>
      <c r="M102" s="3">
        <v>2011790</v>
      </c>
      <c r="N102" s="3"/>
      <c r="O102" s="8">
        <f t="shared" si="13"/>
        <v>237617</v>
      </c>
      <c r="P102" s="3"/>
      <c r="Q102" s="3">
        <v>14567</v>
      </c>
      <c r="R102" s="3"/>
      <c r="S102" s="3">
        <v>252184</v>
      </c>
      <c r="T102" s="3"/>
      <c r="U102" s="3">
        <v>0</v>
      </c>
      <c r="V102" s="3"/>
      <c r="W102" s="3">
        <v>1094113</v>
      </c>
      <c r="X102" s="3"/>
      <c r="Y102" s="3">
        <v>245900</v>
      </c>
      <c r="Z102" s="3"/>
      <c r="AA102" s="3">
        <v>162143</v>
      </c>
      <c r="AB102" s="3"/>
      <c r="AC102" s="3">
        <v>257450</v>
      </c>
      <c r="AD102" s="3"/>
      <c r="AE102" s="27">
        <f t="shared" si="8"/>
        <v>1759606</v>
      </c>
      <c r="AG102" s="3">
        <f t="shared" si="7"/>
        <v>0</v>
      </c>
      <c r="AJ102" s="3"/>
      <c r="AK102" s="3" t="str">
        <f t="shared" si="11"/>
        <v>Medina County Educ Srv Ctr</v>
      </c>
      <c r="AL102" s="20" t="str">
        <f>GenExp!A102</f>
        <v>Medina County Educ Srv Ctr</v>
      </c>
      <c r="AM102" s="20" t="b">
        <f t="shared" si="12"/>
        <v>1</v>
      </c>
      <c r="AO102" s="20" t="str">
        <f t="shared" si="10"/>
        <v>Medina</v>
      </c>
      <c r="AP102" s="20" t="b">
        <f>GenExp!C102=C102</f>
        <v>1</v>
      </c>
    </row>
    <row r="103" spans="1:42" s="66" customFormat="1" hidden="1">
      <c r="A103" s="65" t="s">
        <v>394</v>
      </c>
      <c r="C103" s="66" t="s">
        <v>182</v>
      </c>
      <c r="E103" s="66">
        <v>48546</v>
      </c>
      <c r="G103" s="65"/>
      <c r="H103" s="65"/>
      <c r="I103" s="65"/>
      <c r="J103" s="65"/>
      <c r="K103" s="70">
        <f t="shared" si="9"/>
        <v>0</v>
      </c>
      <c r="L103" s="65"/>
      <c r="M103" s="65"/>
      <c r="N103" s="65"/>
      <c r="O103" s="70">
        <f t="shared" si="13"/>
        <v>0</v>
      </c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73">
        <f t="shared" si="8"/>
        <v>0</v>
      </c>
      <c r="AG103" s="65">
        <f t="shared" si="7"/>
        <v>0</v>
      </c>
      <c r="AJ103" s="80" t="s">
        <v>393</v>
      </c>
      <c r="AK103" s="65" t="str">
        <f t="shared" si="11"/>
        <v>Mercer County Educ Srv Ctr (CASH)</v>
      </c>
      <c r="AL103" s="68" t="str">
        <f>GenExp!A103</f>
        <v>Mercer County Educ Srv Ctr (CASH)</v>
      </c>
      <c r="AM103" s="68" t="b">
        <f t="shared" si="12"/>
        <v>1</v>
      </c>
      <c r="AO103" s="68" t="str">
        <f t="shared" si="10"/>
        <v>Mercer</v>
      </c>
      <c r="AP103" s="68" t="b">
        <f>GenExp!C103=C103</f>
        <v>1</v>
      </c>
    </row>
    <row r="104" spans="1:42" s="16" customFormat="1">
      <c r="A104" s="3" t="s">
        <v>395</v>
      </c>
      <c r="C104" s="16" t="s">
        <v>183</v>
      </c>
      <c r="E104" s="16">
        <v>48603</v>
      </c>
      <c r="G104" s="3">
        <v>2973036</v>
      </c>
      <c r="H104" s="3"/>
      <c r="I104" s="3">
        <v>3408</v>
      </c>
      <c r="J104" s="3"/>
      <c r="K104" s="8">
        <f t="shared" si="9"/>
        <v>404293</v>
      </c>
      <c r="L104" s="3"/>
      <c r="M104" s="3">
        <v>3380737</v>
      </c>
      <c r="N104" s="3"/>
      <c r="O104" s="8">
        <f t="shared" si="13"/>
        <v>1548578</v>
      </c>
      <c r="P104" s="3"/>
      <c r="Q104" s="3">
        <v>1475</v>
      </c>
      <c r="R104" s="3"/>
      <c r="S104" s="3">
        <v>1550053</v>
      </c>
      <c r="T104" s="3"/>
      <c r="U104" s="3">
        <v>21817</v>
      </c>
      <c r="V104" s="3"/>
      <c r="W104" s="3">
        <v>1969</v>
      </c>
      <c r="X104" s="3"/>
      <c r="Y104" s="3">
        <v>9407</v>
      </c>
      <c r="Z104" s="3"/>
      <c r="AA104" s="3">
        <v>72344</v>
      </c>
      <c r="AB104" s="3"/>
      <c r="AC104" s="3">
        <v>1725147</v>
      </c>
      <c r="AD104" s="3"/>
      <c r="AE104" s="27">
        <f t="shared" si="8"/>
        <v>1830684</v>
      </c>
      <c r="AG104" s="3">
        <f t="shared" si="7"/>
        <v>0</v>
      </c>
      <c r="AJ104" s="3"/>
      <c r="AK104" s="3" t="str">
        <f t="shared" si="11"/>
        <v>Miami County Educ Srv Ctr</v>
      </c>
      <c r="AL104" s="20" t="str">
        <f>GenExp!A104</f>
        <v>Miami County Educ Srv Ctr</v>
      </c>
      <c r="AM104" s="20" t="b">
        <f t="shared" si="12"/>
        <v>1</v>
      </c>
      <c r="AO104" s="20" t="str">
        <f t="shared" si="10"/>
        <v>Miami</v>
      </c>
      <c r="AP104" s="20" t="b">
        <f>GenExp!C104=C104</f>
        <v>1</v>
      </c>
    </row>
    <row r="105" spans="1:42" s="66" customFormat="1" hidden="1">
      <c r="A105" s="65" t="s">
        <v>293</v>
      </c>
      <c r="B105" s="65"/>
      <c r="C105" s="65" t="s">
        <v>193</v>
      </c>
      <c r="G105" s="65"/>
      <c r="H105" s="65"/>
      <c r="I105" s="65"/>
      <c r="J105" s="65"/>
      <c r="K105" s="70">
        <f>+M105-I105-G105</f>
        <v>0</v>
      </c>
      <c r="L105" s="65"/>
      <c r="M105" s="65"/>
      <c r="N105" s="65"/>
      <c r="O105" s="70">
        <f t="shared" si="13"/>
        <v>0</v>
      </c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73">
        <f t="shared" si="8"/>
        <v>0</v>
      </c>
      <c r="AG105" s="65">
        <f t="shared" si="7"/>
        <v>0</v>
      </c>
      <c r="AJ105" s="80" t="s">
        <v>393</v>
      </c>
      <c r="AK105" s="65" t="str">
        <f t="shared" si="11"/>
        <v>Mid-Ohio Educ Srv Ctr  (CASH)</v>
      </c>
      <c r="AL105" s="68" t="str">
        <f>GenExp!A105</f>
        <v>Mid-Ohio Educ Srv Ctr  (CASH)</v>
      </c>
      <c r="AM105" s="68" t="b">
        <f t="shared" si="12"/>
        <v>1</v>
      </c>
      <c r="AO105" s="68" t="str">
        <f t="shared" si="10"/>
        <v>Richland</v>
      </c>
      <c r="AP105" s="68" t="b">
        <f>GenExp!C105=C105</f>
        <v>1</v>
      </c>
    </row>
    <row r="106" spans="1:42" s="16" customFormat="1">
      <c r="A106" s="3" t="s">
        <v>398</v>
      </c>
      <c r="C106" s="16" t="s">
        <v>184</v>
      </c>
      <c r="E106" s="16">
        <v>48660</v>
      </c>
      <c r="G106" s="3">
        <v>15646479</v>
      </c>
      <c r="H106" s="3"/>
      <c r="I106" s="3">
        <v>34</v>
      </c>
      <c r="J106" s="3"/>
      <c r="K106" s="8">
        <f t="shared" si="9"/>
        <v>2834525</v>
      </c>
      <c r="L106" s="3"/>
      <c r="M106" s="3">
        <v>18481038</v>
      </c>
      <c r="N106" s="3"/>
      <c r="O106" s="8">
        <f t="shared" si="13"/>
        <v>4667164</v>
      </c>
      <c r="P106" s="3"/>
      <c r="Q106" s="3">
        <v>476940</v>
      </c>
      <c r="R106" s="3"/>
      <c r="S106" s="3">
        <v>5144104</v>
      </c>
      <c r="T106" s="3"/>
      <c r="U106" s="3">
        <v>26482</v>
      </c>
      <c r="V106" s="3"/>
      <c r="W106" s="3">
        <v>1422430</v>
      </c>
      <c r="X106" s="3"/>
      <c r="Y106" s="3">
        <v>0</v>
      </c>
      <c r="Z106" s="3"/>
      <c r="AA106" s="3">
        <v>787811</v>
      </c>
      <c r="AB106" s="3"/>
      <c r="AC106" s="3">
        <v>11100211</v>
      </c>
      <c r="AD106" s="3"/>
      <c r="AE106" s="27">
        <f t="shared" si="8"/>
        <v>13336934</v>
      </c>
      <c r="AG106" s="3">
        <f t="shared" si="7"/>
        <v>0</v>
      </c>
      <c r="AJ106" s="3"/>
      <c r="AK106" s="3" t="str">
        <f t="shared" si="11"/>
        <v>Montgomery County Educ Srv Ctr</v>
      </c>
      <c r="AL106" s="20" t="str">
        <f>GenExp!A106</f>
        <v>Montgomery County Educ Srv Ctr</v>
      </c>
      <c r="AM106" s="20" t="b">
        <f t="shared" si="12"/>
        <v>1</v>
      </c>
      <c r="AO106" s="20" t="str">
        <f t="shared" si="10"/>
        <v>Montgomery</v>
      </c>
      <c r="AP106" s="20" t="b">
        <f>GenExp!C106=C106</f>
        <v>1</v>
      </c>
    </row>
    <row r="107" spans="1:42" s="16" customFormat="1">
      <c r="A107" s="3" t="s">
        <v>185</v>
      </c>
      <c r="C107" s="16" t="s">
        <v>186</v>
      </c>
      <c r="E107" s="16">
        <v>125252</v>
      </c>
      <c r="G107" s="3">
        <v>3498404</v>
      </c>
      <c r="H107" s="3"/>
      <c r="I107" s="3">
        <v>1651</v>
      </c>
      <c r="J107" s="3"/>
      <c r="K107" s="8">
        <f t="shared" si="9"/>
        <v>918937</v>
      </c>
      <c r="L107" s="3"/>
      <c r="M107" s="3">
        <v>4418992</v>
      </c>
      <c r="N107" s="3"/>
      <c r="O107" s="8">
        <f t="shared" si="13"/>
        <v>1507494</v>
      </c>
      <c r="P107" s="3"/>
      <c r="Q107" s="3">
        <v>213417</v>
      </c>
      <c r="R107" s="3"/>
      <c r="S107" s="3">
        <v>1720911</v>
      </c>
      <c r="T107" s="3"/>
      <c r="U107" s="3">
        <f>191769+1651</f>
        <v>193420</v>
      </c>
      <c r="V107" s="3"/>
      <c r="W107" s="3">
        <v>137424</v>
      </c>
      <c r="X107" s="3"/>
      <c r="Y107" s="3">
        <v>0</v>
      </c>
      <c r="Z107" s="3"/>
      <c r="AA107" s="3">
        <v>195182</v>
      </c>
      <c r="AB107" s="3"/>
      <c r="AC107" s="3">
        <v>2172055</v>
      </c>
      <c r="AD107" s="3"/>
      <c r="AE107" s="27">
        <f t="shared" si="8"/>
        <v>2698081</v>
      </c>
      <c r="AG107" s="3">
        <f t="shared" si="7"/>
        <v>0</v>
      </c>
      <c r="AJ107" s="3"/>
      <c r="AK107" s="3" t="str">
        <f t="shared" si="11"/>
        <v>Muskingum Valley Educ Srv Ctr</v>
      </c>
      <c r="AL107" s="20" t="str">
        <f>GenExp!A107</f>
        <v>Muskingum Valley Educ Srv Ctr</v>
      </c>
      <c r="AM107" s="20" t="b">
        <f t="shared" si="12"/>
        <v>1</v>
      </c>
      <c r="AO107" s="20" t="str">
        <f t="shared" si="10"/>
        <v>Muskingum</v>
      </c>
      <c r="AP107" s="20" t="b">
        <f>GenExp!C107=C107</f>
        <v>1</v>
      </c>
    </row>
    <row r="108" spans="1:42" s="16" customFormat="1">
      <c r="A108" s="3" t="s">
        <v>277</v>
      </c>
      <c r="C108" s="16" t="s">
        <v>197</v>
      </c>
      <c r="E108" s="16">
        <v>123257</v>
      </c>
      <c r="G108" s="3">
        <v>2367195</v>
      </c>
      <c r="H108" s="3"/>
      <c r="I108" s="3">
        <v>0</v>
      </c>
      <c r="J108" s="3"/>
      <c r="K108" s="8">
        <f t="shared" si="9"/>
        <v>570391</v>
      </c>
      <c r="L108" s="3"/>
      <c r="M108" s="3">
        <v>2937586</v>
      </c>
      <c r="N108" s="3"/>
      <c r="O108" s="8">
        <f t="shared" si="13"/>
        <v>1983104</v>
      </c>
      <c r="P108" s="3"/>
      <c r="Q108" s="3">
        <v>146703</v>
      </c>
      <c r="R108" s="3"/>
      <c r="S108" s="3">
        <v>2129807</v>
      </c>
      <c r="T108" s="3"/>
      <c r="U108" s="3">
        <v>36704</v>
      </c>
      <c r="V108" s="3"/>
      <c r="W108" s="3">
        <f>6704+20335+29752</f>
        <v>56791</v>
      </c>
      <c r="X108" s="3"/>
      <c r="Y108" s="3">
        <v>14500</v>
      </c>
      <c r="Z108" s="3"/>
      <c r="AA108" s="3">
        <f>6183+13164+69112+700+99673</f>
        <v>188832</v>
      </c>
      <c r="AB108" s="3"/>
      <c r="AC108" s="3">
        <v>510952</v>
      </c>
      <c r="AD108" s="3"/>
      <c r="AE108" s="27">
        <f t="shared" si="8"/>
        <v>807779</v>
      </c>
      <c r="AG108" s="3">
        <f t="shared" si="7"/>
        <v>0</v>
      </c>
      <c r="AJ108" s="3"/>
      <c r="AK108" s="3" t="str">
        <f t="shared" si="11"/>
        <v>North Central Ohio Educ Srv Ctr</v>
      </c>
      <c r="AL108" s="20" t="str">
        <f>GenExp!A108</f>
        <v>North Central Ohio Educ Srv Ctr</v>
      </c>
      <c r="AM108" s="20" t="b">
        <f t="shared" si="12"/>
        <v>1</v>
      </c>
      <c r="AO108" s="20" t="str">
        <f t="shared" si="10"/>
        <v>Seneca</v>
      </c>
      <c r="AP108" s="20" t="b">
        <f>GenExp!C108=C108</f>
        <v>1</v>
      </c>
    </row>
    <row r="109" spans="1:42" s="16" customFormat="1">
      <c r="A109" s="16" t="s">
        <v>340</v>
      </c>
      <c r="C109" s="16" t="s">
        <v>163</v>
      </c>
      <c r="G109" s="3">
        <v>7138759</v>
      </c>
      <c r="H109" s="3"/>
      <c r="I109" s="3">
        <v>0</v>
      </c>
      <c r="J109" s="3"/>
      <c r="K109" s="8">
        <f t="shared" ref="K109" si="16">+M109-I109-G109</f>
        <v>334172</v>
      </c>
      <c r="L109" s="3"/>
      <c r="M109" s="3">
        <v>7472931</v>
      </c>
      <c r="N109" s="3"/>
      <c r="O109" s="8">
        <f t="shared" ref="O109" si="17">+S109-Q109</f>
        <v>2096572</v>
      </c>
      <c r="P109" s="3"/>
      <c r="Q109" s="3">
        <f>131916+5915</f>
        <v>137831</v>
      </c>
      <c r="R109" s="3"/>
      <c r="S109" s="3">
        <v>2234403</v>
      </c>
      <c r="T109" s="3"/>
      <c r="U109" s="3">
        <f>74986+2645</f>
        <v>77631</v>
      </c>
      <c r="V109" s="3"/>
      <c r="W109" s="3">
        <v>132344</v>
      </c>
      <c r="X109" s="3"/>
      <c r="Y109" s="3">
        <v>103818</v>
      </c>
      <c r="Z109" s="3"/>
      <c r="AA109" s="3">
        <f>22619+233116+92017</f>
        <v>347752</v>
      </c>
      <c r="AB109" s="3"/>
      <c r="AC109" s="3">
        <v>4576983</v>
      </c>
      <c r="AD109" s="3"/>
      <c r="AE109" s="27">
        <f t="shared" si="8"/>
        <v>5238528</v>
      </c>
      <c r="AG109" s="3">
        <f t="shared" si="7"/>
        <v>0</v>
      </c>
      <c r="AJ109" s="3"/>
      <c r="AK109" s="3" t="str">
        <f t="shared" si="11"/>
        <v>North Point Educ Srv Ctr</v>
      </c>
      <c r="AL109" s="20" t="str">
        <f>GenExp!A109</f>
        <v>North Point Educ Srv Ctr</v>
      </c>
      <c r="AM109" s="20" t="b">
        <f t="shared" si="12"/>
        <v>1</v>
      </c>
      <c r="AO109" s="20" t="str">
        <f t="shared" si="10"/>
        <v>Erie</v>
      </c>
      <c r="AP109" s="20" t="b">
        <f>GenExp!C109=C109</f>
        <v>1</v>
      </c>
    </row>
    <row r="110" spans="1:42" s="16" customFormat="1">
      <c r="A110" s="3" t="s">
        <v>166</v>
      </c>
      <c r="C110" s="3" t="s">
        <v>399</v>
      </c>
      <c r="E110" s="16">
        <v>124297</v>
      </c>
      <c r="G110" s="3">
        <v>3508062</v>
      </c>
      <c r="H110" s="3"/>
      <c r="I110" s="3">
        <v>0</v>
      </c>
      <c r="J110" s="3"/>
      <c r="K110" s="8">
        <f t="shared" si="9"/>
        <v>369107</v>
      </c>
      <c r="L110" s="3"/>
      <c r="M110" s="3">
        <v>3877169</v>
      </c>
      <c r="N110" s="3"/>
      <c r="O110" s="8">
        <f t="shared" si="13"/>
        <v>2497581</v>
      </c>
      <c r="P110" s="3"/>
      <c r="Q110" s="3">
        <v>14933</v>
      </c>
      <c r="R110" s="3"/>
      <c r="S110" s="3">
        <v>2512514</v>
      </c>
      <c r="T110" s="3"/>
      <c r="U110" s="3">
        <v>8967</v>
      </c>
      <c r="V110" s="3"/>
      <c r="W110" s="3">
        <v>343439</v>
      </c>
      <c r="X110" s="3"/>
      <c r="Y110" s="3">
        <v>131752</v>
      </c>
      <c r="Z110" s="3"/>
      <c r="AA110" s="3">
        <v>76250</v>
      </c>
      <c r="AB110" s="3"/>
      <c r="AC110" s="3">
        <v>804247</v>
      </c>
      <c r="AD110" s="3"/>
      <c r="AE110" s="27">
        <f t="shared" si="8"/>
        <v>1364655</v>
      </c>
      <c r="AG110" s="3">
        <f t="shared" si="7"/>
        <v>0</v>
      </c>
      <c r="AJ110" s="3" t="s">
        <v>400</v>
      </c>
      <c r="AK110" s="3" t="str">
        <f t="shared" si="11"/>
        <v>Northwest Ohio Educ Srv Ctr</v>
      </c>
      <c r="AL110" s="20" t="str">
        <f>GenExp!A110</f>
        <v>Northwest Ohio Educ Srv Ctr</v>
      </c>
      <c r="AM110" s="20" t="b">
        <f t="shared" si="12"/>
        <v>1</v>
      </c>
      <c r="AO110" s="20" t="str">
        <f t="shared" si="10"/>
        <v>Fulton</v>
      </c>
      <c r="AP110" s="20" t="b">
        <f>GenExp!C110=C110</f>
        <v>1</v>
      </c>
    </row>
    <row r="111" spans="1:42" s="16" customFormat="1">
      <c r="A111" s="3" t="s">
        <v>364</v>
      </c>
      <c r="C111" s="3" t="s">
        <v>271</v>
      </c>
      <c r="E111" s="16">
        <v>123521</v>
      </c>
      <c r="G111" s="3">
        <v>1977804</v>
      </c>
      <c r="H111" s="3"/>
      <c r="I111" s="3">
        <v>28613</v>
      </c>
      <c r="J111" s="3"/>
      <c r="K111" s="8">
        <f t="shared" si="9"/>
        <v>208458</v>
      </c>
      <c r="L111" s="3"/>
      <c r="M111" s="3">
        <v>2214875</v>
      </c>
      <c r="N111" s="3"/>
      <c r="O111" s="8">
        <f t="shared" si="13"/>
        <v>895412</v>
      </c>
      <c r="P111" s="3"/>
      <c r="Q111" s="3">
        <v>22966</v>
      </c>
      <c r="R111" s="3"/>
      <c r="S111" s="3">
        <v>918378</v>
      </c>
      <c r="T111" s="3"/>
      <c r="U111" s="3">
        <v>33106</v>
      </c>
      <c r="V111" s="3"/>
      <c r="W111" s="3">
        <v>3249</v>
      </c>
      <c r="X111" s="3"/>
      <c r="Y111" s="3">
        <v>0</v>
      </c>
      <c r="Z111" s="3"/>
      <c r="AA111" s="3">
        <v>127971</v>
      </c>
      <c r="AB111" s="3"/>
      <c r="AC111" s="3">
        <v>1132171</v>
      </c>
      <c r="AD111" s="3"/>
      <c r="AE111" s="27">
        <f t="shared" si="8"/>
        <v>1296497</v>
      </c>
      <c r="AG111" s="3">
        <f t="shared" si="7"/>
        <v>0</v>
      </c>
      <c r="AJ111" s="3"/>
      <c r="AK111" s="3" t="str">
        <f t="shared" si="11"/>
        <v>Ohio Valley Educ Srv Ctr</v>
      </c>
      <c r="AL111" s="20" t="str">
        <f>GenExp!A111</f>
        <v>Ohio Valley Educ Srv Ctr</v>
      </c>
      <c r="AM111" s="20" t="b">
        <f t="shared" si="12"/>
        <v>1</v>
      </c>
      <c r="AO111" s="20" t="str">
        <f t="shared" si="10"/>
        <v>Guernsey</v>
      </c>
      <c r="AP111" s="20" t="b">
        <f>GenExp!C111=C111</f>
        <v>1</v>
      </c>
    </row>
    <row r="112" spans="1:42" s="16" customFormat="1">
      <c r="A112" s="3" t="s">
        <v>187</v>
      </c>
      <c r="C112" s="16" t="s">
        <v>188</v>
      </c>
      <c r="E112" s="16">
        <v>125674</v>
      </c>
      <c r="G112" s="3">
        <v>734594</v>
      </c>
      <c r="H112" s="3"/>
      <c r="I112" s="3">
        <v>0</v>
      </c>
      <c r="J112" s="3"/>
      <c r="K112" s="8">
        <f t="shared" si="9"/>
        <v>576152</v>
      </c>
      <c r="L112" s="3"/>
      <c r="M112" s="3">
        <v>1310746</v>
      </c>
      <c r="N112" s="3"/>
      <c r="O112" s="8">
        <f t="shared" si="13"/>
        <v>1006405</v>
      </c>
      <c r="P112" s="3"/>
      <c r="Q112" s="3">
        <v>24477</v>
      </c>
      <c r="R112" s="3"/>
      <c r="S112" s="3">
        <v>1030882</v>
      </c>
      <c r="T112" s="3"/>
      <c r="U112" s="3">
        <v>0</v>
      </c>
      <c r="V112" s="3"/>
      <c r="W112" s="3">
        <v>119708</v>
      </c>
      <c r="X112" s="3"/>
      <c r="Y112" s="3">
        <v>0</v>
      </c>
      <c r="Z112" s="3"/>
      <c r="AA112" s="3">
        <v>0</v>
      </c>
      <c r="AB112" s="3"/>
      <c r="AC112" s="3">
        <v>160156</v>
      </c>
      <c r="AD112" s="3"/>
      <c r="AE112" s="27">
        <f t="shared" si="8"/>
        <v>279864</v>
      </c>
      <c r="AG112" s="3">
        <f t="shared" si="7"/>
        <v>0</v>
      </c>
      <c r="AJ112" s="3" t="s">
        <v>406</v>
      </c>
      <c r="AK112" s="3" t="str">
        <f t="shared" si="11"/>
        <v>Perry-Hocking Educ Srv Ctr</v>
      </c>
      <c r="AL112" s="20" t="str">
        <f>GenExp!A112</f>
        <v>Perry-Hocking Educ Srv Ctr</v>
      </c>
      <c r="AM112" s="20" t="b">
        <f t="shared" si="12"/>
        <v>1</v>
      </c>
      <c r="AO112" s="20" t="str">
        <f t="shared" si="10"/>
        <v>Perry</v>
      </c>
      <c r="AP112" s="20" t="b">
        <f>GenExp!C112=C112</f>
        <v>1</v>
      </c>
    </row>
    <row r="113" spans="1:42" s="16" customFormat="1">
      <c r="A113" s="3" t="s">
        <v>421</v>
      </c>
      <c r="C113" s="16" t="s">
        <v>189</v>
      </c>
      <c r="E113" s="16">
        <v>49072</v>
      </c>
      <c r="G113" s="3">
        <v>824347</v>
      </c>
      <c r="H113" s="3"/>
      <c r="I113" s="3">
        <v>0</v>
      </c>
      <c r="J113" s="3"/>
      <c r="K113" s="8">
        <f t="shared" si="9"/>
        <v>128819</v>
      </c>
      <c r="L113" s="3"/>
      <c r="M113" s="3">
        <v>953166</v>
      </c>
      <c r="N113" s="3"/>
      <c r="O113" s="8">
        <f t="shared" si="13"/>
        <v>412488</v>
      </c>
      <c r="P113" s="3"/>
      <c r="Q113" s="3">
        <v>5000</v>
      </c>
      <c r="R113" s="3"/>
      <c r="S113" s="3">
        <v>417488</v>
      </c>
      <c r="T113" s="3"/>
      <c r="U113" s="3">
        <v>0</v>
      </c>
      <c r="V113" s="3"/>
      <c r="W113" s="3">
        <v>94173</v>
      </c>
      <c r="X113" s="3"/>
      <c r="Y113" s="3">
        <v>0</v>
      </c>
      <c r="Z113" s="3"/>
      <c r="AA113" s="3">
        <v>10695</v>
      </c>
      <c r="AB113" s="3"/>
      <c r="AC113" s="3">
        <v>430810</v>
      </c>
      <c r="AD113" s="3"/>
      <c r="AE113" s="27">
        <f t="shared" si="8"/>
        <v>535678</v>
      </c>
      <c r="AG113" s="3">
        <f t="shared" si="7"/>
        <v>0</v>
      </c>
      <c r="AJ113" s="32"/>
      <c r="AK113" s="3" t="str">
        <f t="shared" si="11"/>
        <v>Pickaway County Educ Srv Ctr</v>
      </c>
      <c r="AL113" s="20" t="str">
        <f>GenExp!A113</f>
        <v>Pickaway County Educ Srv Ctr</v>
      </c>
      <c r="AM113" s="20" t="b">
        <f t="shared" si="12"/>
        <v>1</v>
      </c>
      <c r="AO113" s="20" t="str">
        <f t="shared" si="10"/>
        <v>Pickaway</v>
      </c>
      <c r="AP113" s="20" t="b">
        <f>GenExp!C113=C113</f>
        <v>1</v>
      </c>
    </row>
    <row r="114" spans="1:42" s="16" customFormat="1">
      <c r="A114" s="3" t="s">
        <v>408</v>
      </c>
      <c r="C114" s="16" t="s">
        <v>190</v>
      </c>
      <c r="E114" s="16">
        <v>49163</v>
      </c>
      <c r="G114" s="3">
        <v>996289</v>
      </c>
      <c r="H114" s="3"/>
      <c r="I114" s="3">
        <v>0</v>
      </c>
      <c r="J114" s="3"/>
      <c r="K114" s="8">
        <f t="shared" si="9"/>
        <v>698204</v>
      </c>
      <c r="L114" s="3"/>
      <c r="M114" s="3">
        <v>1694493</v>
      </c>
      <c r="N114" s="3"/>
      <c r="O114" s="8">
        <f t="shared" si="13"/>
        <v>982441</v>
      </c>
      <c r="P114" s="3"/>
      <c r="Q114" s="3">
        <v>491487</v>
      </c>
      <c r="R114" s="3"/>
      <c r="S114" s="3">
        <v>1473928</v>
      </c>
      <c r="T114" s="3"/>
      <c r="U114" s="3">
        <v>0</v>
      </c>
      <c r="V114" s="3"/>
      <c r="W114" s="3">
        <v>320793</v>
      </c>
      <c r="X114" s="3"/>
      <c r="Y114" s="3">
        <v>0</v>
      </c>
      <c r="Z114" s="3"/>
      <c r="AA114" s="3">
        <v>0</v>
      </c>
      <c r="AB114" s="3"/>
      <c r="AC114" s="3">
        <v>-100228</v>
      </c>
      <c r="AD114" s="3"/>
      <c r="AE114" s="27">
        <f t="shared" si="8"/>
        <v>220565</v>
      </c>
      <c r="AG114" s="3">
        <f t="shared" si="7"/>
        <v>0</v>
      </c>
      <c r="AJ114" s="32"/>
      <c r="AK114" s="3" t="str">
        <f t="shared" si="11"/>
        <v>Portage County Educ Srv Ctr</v>
      </c>
      <c r="AL114" s="20" t="str">
        <f>GenExp!A114</f>
        <v>Portage County Educ Srv Ctr</v>
      </c>
      <c r="AM114" s="20" t="b">
        <f t="shared" si="12"/>
        <v>1</v>
      </c>
      <c r="AO114" s="20" t="str">
        <f t="shared" si="10"/>
        <v>Portage</v>
      </c>
      <c r="AP114" s="20" t="b">
        <f>GenExp!C114=C114</f>
        <v>1</v>
      </c>
    </row>
    <row r="115" spans="1:42" s="66" customFormat="1" hidden="1">
      <c r="A115" s="66" t="s">
        <v>409</v>
      </c>
      <c r="C115" s="66" t="s">
        <v>191</v>
      </c>
      <c r="E115" s="66">
        <v>49254</v>
      </c>
      <c r="G115" s="65"/>
      <c r="H115" s="65"/>
      <c r="I115" s="65"/>
      <c r="J115" s="65"/>
      <c r="K115" s="70">
        <f t="shared" si="9"/>
        <v>0</v>
      </c>
      <c r="L115" s="65"/>
      <c r="M115" s="65"/>
      <c r="N115" s="65"/>
      <c r="O115" s="70">
        <f t="shared" si="13"/>
        <v>0</v>
      </c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73">
        <f t="shared" si="8"/>
        <v>0</v>
      </c>
      <c r="AG115" s="65">
        <f t="shared" si="7"/>
        <v>0</v>
      </c>
      <c r="AJ115" s="80" t="s">
        <v>410</v>
      </c>
      <c r="AK115" s="65" t="str">
        <f t="shared" si="11"/>
        <v>Preble County Educ Srv Ctr (CASH)</v>
      </c>
      <c r="AL115" s="68" t="str">
        <f>GenExp!A115</f>
        <v>Preble County Educ Srv Ctr (CASH)</v>
      </c>
      <c r="AM115" s="68" t="b">
        <f t="shared" si="12"/>
        <v>1</v>
      </c>
      <c r="AO115" s="68" t="str">
        <f t="shared" si="10"/>
        <v>Preble</v>
      </c>
      <c r="AP115" s="68" t="b">
        <f>GenExp!C115=C115</f>
        <v>1</v>
      </c>
    </row>
    <row r="116" spans="1:42" s="16" customFormat="1">
      <c r="A116" s="3" t="s">
        <v>411</v>
      </c>
      <c r="C116" s="16" t="s">
        <v>192</v>
      </c>
      <c r="E116" s="16">
        <v>49304</v>
      </c>
      <c r="G116" s="3">
        <v>1589374</v>
      </c>
      <c r="H116" s="3"/>
      <c r="I116" s="3">
        <v>0</v>
      </c>
      <c r="J116" s="3"/>
      <c r="K116" s="8">
        <f t="shared" si="9"/>
        <v>1050178</v>
      </c>
      <c r="L116" s="3"/>
      <c r="M116" s="3">
        <v>2639552</v>
      </c>
      <c r="N116" s="3"/>
      <c r="O116" s="8">
        <f t="shared" si="13"/>
        <v>874509</v>
      </c>
      <c r="P116" s="3"/>
      <c r="Q116" s="3">
        <v>327403</v>
      </c>
      <c r="R116" s="3"/>
      <c r="S116" s="3">
        <v>1201912</v>
      </c>
      <c r="T116" s="3"/>
      <c r="U116" s="3">
        <v>0</v>
      </c>
      <c r="V116" s="3"/>
      <c r="W116" s="3">
        <f>231+160738+373068</f>
        <v>534037</v>
      </c>
      <c r="X116" s="3"/>
      <c r="Y116" s="3">
        <v>0</v>
      </c>
      <c r="Z116" s="3"/>
      <c r="AA116" s="3">
        <f>1771+22564</f>
        <v>24335</v>
      </c>
      <c r="AB116" s="3"/>
      <c r="AC116" s="3">
        <v>879268</v>
      </c>
      <c r="AD116" s="3"/>
      <c r="AE116" s="27">
        <f t="shared" si="8"/>
        <v>1437640</v>
      </c>
      <c r="AG116" s="3">
        <f t="shared" si="7"/>
        <v>0</v>
      </c>
      <c r="AJ116" s="3"/>
      <c r="AK116" s="3" t="str">
        <f t="shared" si="11"/>
        <v>Putnam County Educ Srv Ctr</v>
      </c>
      <c r="AL116" s="20" t="str">
        <f>GenExp!A116</f>
        <v>Putnam County Educ Srv Ctr</v>
      </c>
      <c r="AM116" s="20" t="b">
        <f t="shared" si="12"/>
        <v>1</v>
      </c>
      <c r="AO116" s="20" t="str">
        <f t="shared" si="10"/>
        <v>Putnam</v>
      </c>
      <c r="AP116" s="20" t="b">
        <f>GenExp!C116=C116</f>
        <v>1</v>
      </c>
    </row>
    <row r="117" spans="1:42" s="16" customFormat="1">
      <c r="A117" s="3" t="s">
        <v>412</v>
      </c>
      <c r="C117" s="16" t="s">
        <v>194</v>
      </c>
      <c r="E117" s="16">
        <v>138222</v>
      </c>
      <c r="G117" s="3">
        <v>3493595</v>
      </c>
      <c r="H117" s="3"/>
      <c r="I117" s="3">
        <v>0</v>
      </c>
      <c r="J117" s="3"/>
      <c r="K117" s="8">
        <f t="shared" si="9"/>
        <v>715994</v>
      </c>
      <c r="L117" s="3"/>
      <c r="M117" s="3">
        <v>4209589</v>
      </c>
      <c r="N117" s="3"/>
      <c r="O117" s="8">
        <f t="shared" si="13"/>
        <v>1144432</v>
      </c>
      <c r="P117" s="3"/>
      <c r="Q117" s="3">
        <v>11983</v>
      </c>
      <c r="R117" s="3"/>
      <c r="S117" s="3">
        <v>1156415</v>
      </c>
      <c r="T117" s="3"/>
      <c r="U117" s="3">
        <v>0</v>
      </c>
      <c r="V117" s="3"/>
      <c r="W117" s="3">
        <f>109712+42963+11708</f>
        <v>164383</v>
      </c>
      <c r="X117" s="3"/>
      <c r="Y117" s="3">
        <v>30825</v>
      </c>
      <c r="Z117" s="3"/>
      <c r="AA117" s="3">
        <f>13333+4000</f>
        <v>17333</v>
      </c>
      <c r="AB117" s="3"/>
      <c r="AC117" s="3">
        <v>2840633</v>
      </c>
      <c r="AD117" s="3"/>
      <c r="AE117" s="27">
        <f t="shared" si="8"/>
        <v>3053174</v>
      </c>
      <c r="AG117" s="3">
        <f t="shared" si="7"/>
        <v>0</v>
      </c>
      <c r="AJ117" s="3"/>
      <c r="AK117" s="3" t="str">
        <f t="shared" si="11"/>
        <v>Ross-Pike Educ Srv District</v>
      </c>
      <c r="AL117" s="20" t="str">
        <f>GenExp!A117</f>
        <v>Ross-Pike Educ Srv District</v>
      </c>
      <c r="AM117" s="20" t="b">
        <f t="shared" si="12"/>
        <v>1</v>
      </c>
      <c r="AO117" s="20" t="str">
        <f t="shared" si="10"/>
        <v>Ross</v>
      </c>
      <c r="AP117" s="20" t="b">
        <f>GenExp!C117=C117</f>
        <v>1</v>
      </c>
    </row>
    <row r="118" spans="1:42" s="66" customFormat="1" hidden="1">
      <c r="A118" s="65" t="s">
        <v>341</v>
      </c>
      <c r="C118" s="66" t="s">
        <v>195</v>
      </c>
      <c r="E118" s="66">
        <v>49551</v>
      </c>
      <c r="G118" s="65"/>
      <c r="H118" s="65"/>
      <c r="I118" s="65"/>
      <c r="J118" s="65"/>
      <c r="K118" s="70">
        <f t="shared" si="9"/>
        <v>0</v>
      </c>
      <c r="L118" s="65"/>
      <c r="M118" s="65"/>
      <c r="N118" s="65"/>
      <c r="O118" s="70">
        <f t="shared" si="13"/>
        <v>0</v>
      </c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73">
        <f t="shared" si="8"/>
        <v>0</v>
      </c>
      <c r="AG118" s="65">
        <f t="shared" si="7"/>
        <v>0</v>
      </c>
      <c r="AJ118" s="65" t="s">
        <v>321</v>
      </c>
      <c r="AK118" s="65" t="str">
        <f t="shared" si="11"/>
        <v>Sandusky Educ Srv Ctr - merged with two other ESC</v>
      </c>
      <c r="AL118" s="68" t="str">
        <f>GenExp!A118</f>
        <v>Sandusky Educ Srv Ctr - merged with two other ESC</v>
      </c>
      <c r="AM118" s="68" t="b">
        <f t="shared" si="12"/>
        <v>1</v>
      </c>
      <c r="AO118" s="68" t="str">
        <f t="shared" si="10"/>
        <v>Sandusky</v>
      </c>
      <c r="AP118" s="68" t="b">
        <f>GenExp!C118=C118</f>
        <v>1</v>
      </c>
    </row>
    <row r="119" spans="1:42" s="16" customFormat="1">
      <c r="A119" s="3" t="s">
        <v>417</v>
      </c>
      <c r="C119" s="16" t="s">
        <v>198</v>
      </c>
      <c r="E119" s="16">
        <v>49742</v>
      </c>
      <c r="G119" s="3">
        <v>1330724</v>
      </c>
      <c r="H119" s="3"/>
      <c r="I119" s="3">
        <v>0</v>
      </c>
      <c r="J119" s="3"/>
      <c r="K119" s="8">
        <f t="shared" si="9"/>
        <v>90625</v>
      </c>
      <c r="L119" s="3"/>
      <c r="M119" s="3">
        <v>1421349</v>
      </c>
      <c r="N119" s="3"/>
      <c r="O119" s="8">
        <f t="shared" si="13"/>
        <v>636421</v>
      </c>
      <c r="P119" s="3"/>
      <c r="Q119" s="3">
        <v>23800</v>
      </c>
      <c r="R119" s="3"/>
      <c r="S119" s="3">
        <v>660221</v>
      </c>
      <c r="T119" s="3"/>
      <c r="U119" s="3">
        <f>699+7613</f>
        <v>8312</v>
      </c>
      <c r="V119" s="3"/>
      <c r="W119" s="3">
        <v>52502</v>
      </c>
      <c r="X119" s="3"/>
      <c r="Y119" s="3">
        <v>271740</v>
      </c>
      <c r="Z119" s="3"/>
      <c r="AA119" s="3">
        <f>8210+34226+16182</f>
        <v>58618</v>
      </c>
      <c r="AB119" s="3"/>
      <c r="AC119" s="3">
        <v>369956</v>
      </c>
      <c r="AD119" s="3"/>
      <c r="AE119" s="27">
        <f t="shared" si="8"/>
        <v>761128</v>
      </c>
      <c r="AG119" s="3">
        <f t="shared" si="7"/>
        <v>0</v>
      </c>
      <c r="AJ119" s="32" t="s">
        <v>418</v>
      </c>
      <c r="AK119" s="3" t="str">
        <f t="shared" si="11"/>
        <v>Shelby County Educ Srv Ctr</v>
      </c>
      <c r="AL119" s="20" t="str">
        <f>GenExp!A119</f>
        <v>Shelby County Educ Srv Ctr</v>
      </c>
      <c r="AM119" s="20" t="b">
        <f t="shared" si="12"/>
        <v>1</v>
      </c>
      <c r="AO119" s="20" t="str">
        <f t="shared" si="10"/>
        <v>Shelby</v>
      </c>
      <c r="AP119" s="20" t="b">
        <f>GenExp!C119=C119</f>
        <v>1</v>
      </c>
    </row>
    <row r="120" spans="1:42" s="16" customFormat="1">
      <c r="A120" s="3" t="s">
        <v>275</v>
      </c>
      <c r="C120" s="16" t="s">
        <v>196</v>
      </c>
      <c r="E120" s="16">
        <v>125658</v>
      </c>
      <c r="G120" s="3">
        <v>1852719</v>
      </c>
      <c r="H120" s="3"/>
      <c r="I120" s="3">
        <v>0</v>
      </c>
      <c r="J120" s="3"/>
      <c r="K120" s="8">
        <f t="shared" si="9"/>
        <v>193522</v>
      </c>
      <c r="L120" s="3"/>
      <c r="M120" s="3">
        <v>2046241</v>
      </c>
      <c r="N120" s="3"/>
      <c r="O120" s="8">
        <f t="shared" si="13"/>
        <v>927712</v>
      </c>
      <c r="P120" s="3"/>
      <c r="Q120" s="3">
        <v>68558</v>
      </c>
      <c r="R120" s="3"/>
      <c r="S120" s="3">
        <v>996270</v>
      </c>
      <c r="T120" s="3"/>
      <c r="U120" s="3">
        <v>0</v>
      </c>
      <c r="V120" s="3"/>
      <c r="W120" s="3">
        <v>204700</v>
      </c>
      <c r="X120" s="3"/>
      <c r="Y120" s="3">
        <v>0</v>
      </c>
      <c r="Z120" s="3"/>
      <c r="AA120" s="3">
        <v>85078</v>
      </c>
      <c r="AB120" s="3"/>
      <c r="AC120" s="3">
        <v>760193</v>
      </c>
      <c r="AD120" s="3"/>
      <c r="AE120" s="27">
        <f t="shared" si="8"/>
        <v>1049971</v>
      </c>
      <c r="AG120" s="3">
        <f t="shared" si="7"/>
        <v>0</v>
      </c>
      <c r="AJ120" s="3"/>
      <c r="AK120" s="3" t="str">
        <f t="shared" si="11"/>
        <v>South Central Ohio Educ Srv Ctr</v>
      </c>
      <c r="AL120" s="20" t="str">
        <f>GenExp!A120</f>
        <v>South Central Ohio Educ Srv Ctr</v>
      </c>
      <c r="AM120" s="20" t="b">
        <f t="shared" si="12"/>
        <v>1</v>
      </c>
      <c r="AO120" s="20" t="str">
        <f t="shared" si="10"/>
        <v>Scioto</v>
      </c>
      <c r="AP120" s="20" t="b">
        <f>GenExp!C120=C120</f>
        <v>1</v>
      </c>
    </row>
    <row r="121" spans="1:42" s="16" customFormat="1">
      <c r="A121" s="3" t="s">
        <v>274</v>
      </c>
      <c r="B121" s="3"/>
      <c r="C121" s="3" t="s">
        <v>158</v>
      </c>
      <c r="G121" s="3">
        <v>2779609</v>
      </c>
      <c r="H121" s="3"/>
      <c r="I121" s="3">
        <v>0</v>
      </c>
      <c r="J121" s="3"/>
      <c r="K121" s="8">
        <f>+M121-I121-G121</f>
        <v>129932</v>
      </c>
      <c r="L121" s="3"/>
      <c r="M121" s="3">
        <v>2909541</v>
      </c>
      <c r="N121" s="3"/>
      <c r="O121" s="8">
        <f t="shared" si="13"/>
        <v>216457</v>
      </c>
      <c r="P121" s="3"/>
      <c r="Q121" s="3">
        <v>30388</v>
      </c>
      <c r="R121" s="3"/>
      <c r="S121" s="3">
        <v>246845</v>
      </c>
      <c r="T121" s="3"/>
      <c r="U121" s="3">
        <v>0</v>
      </c>
      <c r="V121" s="3"/>
      <c r="W121" s="3">
        <v>234553</v>
      </c>
      <c r="X121" s="3"/>
      <c r="Y121" s="3">
        <v>0</v>
      </c>
      <c r="Z121" s="3"/>
      <c r="AA121" s="3">
        <v>158417</v>
      </c>
      <c r="AB121" s="3"/>
      <c r="AC121" s="3">
        <v>2269726</v>
      </c>
      <c r="AD121" s="3"/>
      <c r="AE121" s="27">
        <f t="shared" si="8"/>
        <v>2662696</v>
      </c>
      <c r="AG121" s="3">
        <f t="shared" si="7"/>
        <v>0</v>
      </c>
      <c r="AJ121" s="19"/>
      <c r="AK121" s="3" t="str">
        <f t="shared" si="11"/>
        <v>Southern Ohio Educ Srv Ctr</v>
      </c>
      <c r="AL121" s="20" t="str">
        <f>GenExp!A121</f>
        <v>Southern Ohio Educ Srv Ctr</v>
      </c>
      <c r="AM121" s="20" t="b">
        <f t="shared" si="12"/>
        <v>1</v>
      </c>
      <c r="AO121" s="20" t="str">
        <f t="shared" si="10"/>
        <v>Clinton</v>
      </c>
      <c r="AP121" s="20" t="b">
        <f>GenExp!C121=C121</f>
        <v>1</v>
      </c>
    </row>
    <row r="122" spans="1:42" s="16" customFormat="1">
      <c r="A122" s="16" t="s">
        <v>419</v>
      </c>
      <c r="C122" s="16" t="s">
        <v>199</v>
      </c>
      <c r="E122" s="16">
        <v>49825</v>
      </c>
      <c r="G122" s="3">
        <v>1490715</v>
      </c>
      <c r="H122" s="3"/>
      <c r="I122" s="3">
        <v>0</v>
      </c>
      <c r="J122" s="3"/>
      <c r="K122" s="8">
        <f t="shared" si="9"/>
        <v>2823467</v>
      </c>
      <c r="L122" s="3"/>
      <c r="M122" s="3">
        <v>4314182</v>
      </c>
      <c r="N122" s="3"/>
      <c r="O122" s="8">
        <f t="shared" si="13"/>
        <v>2682055</v>
      </c>
      <c r="P122" s="3"/>
      <c r="Q122" s="3">
        <v>1294805</v>
      </c>
      <c r="R122" s="3"/>
      <c r="S122" s="3">
        <v>3976860</v>
      </c>
      <c r="T122" s="3"/>
      <c r="U122" s="3">
        <v>5715</v>
      </c>
      <c r="V122" s="3"/>
      <c r="W122" s="3">
        <f>28767+67124+213889</f>
        <v>309780</v>
      </c>
      <c r="X122" s="3"/>
      <c r="Y122" s="3">
        <v>0</v>
      </c>
      <c r="Z122" s="3"/>
      <c r="AA122" s="3">
        <f>43065+94573+1764</f>
        <v>139402</v>
      </c>
      <c r="AB122" s="3"/>
      <c r="AC122" s="3">
        <v>-117575</v>
      </c>
      <c r="AD122" s="3"/>
      <c r="AE122" s="27">
        <f t="shared" si="8"/>
        <v>337322</v>
      </c>
      <c r="AG122" s="3">
        <f t="shared" si="7"/>
        <v>0</v>
      </c>
      <c r="AJ122" s="30"/>
      <c r="AK122" s="3" t="str">
        <f t="shared" si="11"/>
        <v xml:space="preserve">Stark County Educ Srv Ctr  </v>
      </c>
      <c r="AL122" s="20" t="str">
        <f>GenExp!A122</f>
        <v xml:space="preserve">Stark County Educ Srv Ctr  </v>
      </c>
      <c r="AM122" s="20" t="b">
        <f t="shared" si="12"/>
        <v>1</v>
      </c>
      <c r="AO122" s="20" t="str">
        <f t="shared" si="10"/>
        <v>Stark</v>
      </c>
      <c r="AP122" s="20" t="b">
        <f>GenExp!C122=C122</f>
        <v>1</v>
      </c>
    </row>
    <row r="123" spans="1:42" s="16" customFormat="1">
      <c r="A123" s="3" t="s">
        <v>420</v>
      </c>
      <c r="C123" s="16" t="s">
        <v>200</v>
      </c>
      <c r="E123" s="16">
        <v>49965</v>
      </c>
      <c r="G123" s="3">
        <v>6323733</v>
      </c>
      <c r="H123" s="3"/>
      <c r="I123" s="3">
        <v>0</v>
      </c>
      <c r="J123" s="3"/>
      <c r="K123" s="8">
        <f t="shared" si="9"/>
        <v>2719513</v>
      </c>
      <c r="L123" s="3"/>
      <c r="M123" s="3">
        <v>9043246</v>
      </c>
      <c r="N123" s="3"/>
      <c r="O123" s="8">
        <f t="shared" si="13"/>
        <v>1795052</v>
      </c>
      <c r="P123" s="3"/>
      <c r="Q123" s="3">
        <v>1266721</v>
      </c>
      <c r="R123" s="3"/>
      <c r="S123" s="3">
        <v>3061773</v>
      </c>
      <c r="T123" s="3"/>
      <c r="U123" s="3">
        <v>0</v>
      </c>
      <c r="V123" s="3"/>
      <c r="W123" s="3">
        <v>92593</v>
      </c>
      <c r="X123" s="3"/>
      <c r="Y123" s="3">
        <v>250000</v>
      </c>
      <c r="Z123" s="3"/>
      <c r="AA123" s="3">
        <v>56747</v>
      </c>
      <c r="AB123" s="3"/>
      <c r="AC123" s="3">
        <v>5582133</v>
      </c>
      <c r="AD123" s="3"/>
      <c r="AE123" s="27">
        <f t="shared" si="8"/>
        <v>5981473</v>
      </c>
      <c r="AG123" s="3">
        <f t="shared" si="7"/>
        <v>0</v>
      </c>
      <c r="AJ123" s="32" t="s">
        <v>305</v>
      </c>
      <c r="AK123" s="3" t="str">
        <f t="shared" si="11"/>
        <v>Summit County Educ Srv Ctr</v>
      </c>
      <c r="AL123" s="20" t="str">
        <f>GenExp!A123</f>
        <v>Summit County Educ Srv Ctr</v>
      </c>
      <c r="AM123" s="20" t="b">
        <f t="shared" si="12"/>
        <v>1</v>
      </c>
      <c r="AO123" s="20" t="str">
        <f t="shared" si="10"/>
        <v>Summit</v>
      </c>
      <c r="AP123" s="20" t="b">
        <f>GenExp!C123=C123</f>
        <v>1</v>
      </c>
    </row>
    <row r="124" spans="1:42" s="16" customFormat="1">
      <c r="A124" s="3" t="s">
        <v>207</v>
      </c>
      <c r="C124" s="16" t="s">
        <v>208</v>
      </c>
      <c r="E124" s="16">
        <v>50526</v>
      </c>
      <c r="G124" s="3">
        <v>2564815</v>
      </c>
      <c r="H124" s="3"/>
      <c r="I124" s="3">
        <v>0</v>
      </c>
      <c r="J124" s="3"/>
      <c r="K124" s="8">
        <f t="shared" si="9"/>
        <v>794365</v>
      </c>
      <c r="L124" s="3"/>
      <c r="M124" s="3">
        <v>3359180</v>
      </c>
      <c r="N124" s="3"/>
      <c r="O124" s="8">
        <f t="shared" si="13"/>
        <v>1681027</v>
      </c>
      <c r="P124" s="3"/>
      <c r="Q124" s="3">
        <f>39322+32911</f>
        <v>72233</v>
      </c>
      <c r="R124" s="3"/>
      <c r="S124" s="3">
        <v>1753260</v>
      </c>
      <c r="T124" s="3"/>
      <c r="U124" s="3">
        <v>24291</v>
      </c>
      <c r="V124" s="3"/>
      <c r="W124" s="3">
        <f>1792+24971</f>
        <v>26763</v>
      </c>
      <c r="X124" s="3"/>
      <c r="Y124" s="3">
        <v>50000</v>
      </c>
      <c r="Z124" s="3"/>
      <c r="AA124" s="3">
        <f>31+32285+393777+168543+269957</f>
        <v>864593</v>
      </c>
      <c r="AB124" s="3"/>
      <c r="AC124" s="3">
        <v>640273</v>
      </c>
      <c r="AD124" s="3"/>
      <c r="AE124" s="27">
        <f t="shared" si="8"/>
        <v>1605920</v>
      </c>
      <c r="AG124" s="3">
        <f t="shared" si="7"/>
        <v>0</v>
      </c>
      <c r="AJ124" s="32"/>
      <c r="AK124" s="3" t="str">
        <f t="shared" si="11"/>
        <v>Tri-County Educ Srv Ctr</v>
      </c>
      <c r="AL124" s="20" t="str">
        <f>GenExp!A124</f>
        <v>Tri-County Educ Srv Ctr</v>
      </c>
      <c r="AM124" s="20" t="b">
        <f t="shared" si="12"/>
        <v>1</v>
      </c>
      <c r="AO124" s="20" t="str">
        <f t="shared" si="10"/>
        <v>Wayne</v>
      </c>
      <c r="AP124" s="20" t="b">
        <f>GenExp!C124=C124</f>
        <v>1</v>
      </c>
    </row>
    <row r="125" spans="1:42" s="16" customFormat="1">
      <c r="A125" s="3" t="s">
        <v>422</v>
      </c>
      <c r="C125" s="16" t="s">
        <v>201</v>
      </c>
      <c r="E125" s="16">
        <v>50088</v>
      </c>
      <c r="G125" s="3">
        <v>6561288</v>
      </c>
      <c r="H125" s="3"/>
      <c r="I125" s="3">
        <v>0</v>
      </c>
      <c r="J125" s="3"/>
      <c r="K125" s="8">
        <f t="shared" si="9"/>
        <v>1409568</v>
      </c>
      <c r="L125" s="3"/>
      <c r="M125" s="3">
        <v>7970856</v>
      </c>
      <c r="N125" s="3"/>
      <c r="O125" s="8">
        <f t="shared" si="13"/>
        <v>2733437</v>
      </c>
      <c r="P125" s="3"/>
      <c r="Q125" s="3">
        <f>200+961611</f>
        <v>961811</v>
      </c>
      <c r="R125" s="3"/>
      <c r="S125" s="3">
        <v>3695248</v>
      </c>
      <c r="T125" s="3"/>
      <c r="U125" s="3">
        <f>11870+103</f>
        <v>11973</v>
      </c>
      <c r="V125" s="3"/>
      <c r="W125" s="3">
        <v>4832</v>
      </c>
      <c r="X125" s="3"/>
      <c r="Y125" s="3">
        <v>9611</v>
      </c>
      <c r="Z125" s="3"/>
      <c r="AA125" s="3">
        <f>11931+41550+2659</f>
        <v>56140</v>
      </c>
      <c r="AB125" s="3"/>
      <c r="AC125" s="3">
        <v>4193052</v>
      </c>
      <c r="AD125" s="3"/>
      <c r="AE125" s="27">
        <f t="shared" si="8"/>
        <v>4275608</v>
      </c>
      <c r="AG125" s="3">
        <f t="shared" si="7"/>
        <v>0</v>
      </c>
      <c r="AJ125" s="3"/>
      <c r="AK125" s="3" t="str">
        <f t="shared" si="11"/>
        <v>Trumbull County Educ Srv Ctr</v>
      </c>
      <c r="AL125" s="20" t="str">
        <f>GenExp!A125</f>
        <v>Trumbull County Educ Srv Ctr</v>
      </c>
      <c r="AM125" s="20" t="b">
        <f t="shared" si="12"/>
        <v>1</v>
      </c>
      <c r="AO125" s="20" t="str">
        <f t="shared" si="10"/>
        <v>Trumbull</v>
      </c>
      <c r="AP125" s="20" t="b">
        <f>GenExp!C125=C125</f>
        <v>1</v>
      </c>
    </row>
    <row r="126" spans="1:42" s="66" customFormat="1" hidden="1">
      <c r="A126" s="65" t="s">
        <v>342</v>
      </c>
      <c r="C126" s="66" t="s">
        <v>202</v>
      </c>
      <c r="E126" s="66">
        <v>50260</v>
      </c>
      <c r="G126" s="65"/>
      <c r="H126" s="65"/>
      <c r="I126" s="65"/>
      <c r="J126" s="65"/>
      <c r="K126" s="70">
        <f t="shared" si="9"/>
        <v>0</v>
      </c>
      <c r="L126" s="65"/>
      <c r="M126" s="65"/>
      <c r="N126" s="65"/>
      <c r="O126" s="70">
        <f t="shared" si="13"/>
        <v>0</v>
      </c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73">
        <f t="shared" si="8"/>
        <v>0</v>
      </c>
      <c r="AG126" s="65">
        <f t="shared" si="7"/>
        <v>0</v>
      </c>
      <c r="AJ126" s="65"/>
      <c r="AK126" s="65" t="str">
        <f t="shared" si="11"/>
        <v>Tuscarawas-Carroll-Harrison Educ Srv Ctr - now East Ctl OH ESC</v>
      </c>
      <c r="AL126" s="68" t="str">
        <f>GenExp!A126</f>
        <v>Tuscarawas-Carroll-Harrison Educ Srv Ctr - now East Ctl OH ESC</v>
      </c>
      <c r="AM126" s="68" t="b">
        <f t="shared" si="12"/>
        <v>1</v>
      </c>
      <c r="AO126" s="68" t="str">
        <f t="shared" si="10"/>
        <v>Tuscarawas</v>
      </c>
      <c r="AP126" s="68" t="b">
        <f>GenExp!C126=C126</f>
        <v>1</v>
      </c>
    </row>
    <row r="127" spans="1:42" s="66" customFormat="1" hidden="1">
      <c r="A127" s="65" t="s">
        <v>424</v>
      </c>
      <c r="C127" s="66" t="s">
        <v>205</v>
      </c>
      <c r="E127" s="66">
        <v>50401</v>
      </c>
      <c r="G127" s="65"/>
      <c r="H127" s="65"/>
      <c r="I127" s="65"/>
      <c r="J127" s="65"/>
      <c r="K127" s="70">
        <f t="shared" si="9"/>
        <v>0</v>
      </c>
      <c r="L127" s="65"/>
      <c r="M127" s="65"/>
      <c r="N127" s="65"/>
      <c r="O127" s="70">
        <f t="shared" si="13"/>
        <v>0</v>
      </c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73">
        <f t="shared" si="8"/>
        <v>0</v>
      </c>
      <c r="AG127" s="65">
        <f t="shared" si="7"/>
        <v>0</v>
      </c>
      <c r="AJ127" s="80" t="s">
        <v>410</v>
      </c>
      <c r="AK127" s="65" t="str">
        <f t="shared" si="11"/>
        <v>Warren County Educ Srv Ctr (CASH)</v>
      </c>
      <c r="AL127" s="68" t="str">
        <f>GenExp!A127</f>
        <v>Warren County Educ Srv Ctr (CASH)</v>
      </c>
      <c r="AM127" s="68" t="b">
        <f t="shared" si="12"/>
        <v>1</v>
      </c>
      <c r="AO127" s="68" t="str">
        <f t="shared" si="10"/>
        <v>Warren</v>
      </c>
      <c r="AP127" s="68" t="b">
        <f>GenExp!C127=C127</f>
        <v>1</v>
      </c>
    </row>
    <row r="128" spans="1:42" s="66" customFormat="1" hidden="1">
      <c r="A128" s="65" t="s">
        <v>343</v>
      </c>
      <c r="C128" s="66" t="s">
        <v>206</v>
      </c>
      <c r="E128" s="66">
        <v>50476</v>
      </c>
      <c r="G128" s="65"/>
      <c r="H128" s="65"/>
      <c r="I128" s="65"/>
      <c r="J128" s="65"/>
      <c r="K128" s="70">
        <f t="shared" ref="K128" si="18">+M128-I128-G128</f>
        <v>0</v>
      </c>
      <c r="L128" s="65"/>
      <c r="M128" s="65"/>
      <c r="N128" s="65"/>
      <c r="O128" s="70">
        <f t="shared" ref="O128" si="19">+S128-Q128</f>
        <v>0</v>
      </c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73">
        <f t="shared" si="8"/>
        <v>0</v>
      </c>
      <c r="AG128" s="65">
        <f t="shared" si="7"/>
        <v>0</v>
      </c>
      <c r="AK128" s="65" t="str">
        <f t="shared" si="11"/>
        <v>Washington Educ Srv Ctr - merged with Ohio Valley ESC</v>
      </c>
      <c r="AL128" s="68" t="str">
        <f>GenExp!A128</f>
        <v>Washington Educ Srv Ctr - merged with Ohio Valley ESC</v>
      </c>
      <c r="AM128" s="68" t="b">
        <f t="shared" si="12"/>
        <v>1</v>
      </c>
      <c r="AO128" s="68" t="str">
        <f t="shared" si="10"/>
        <v>Washington</v>
      </c>
      <c r="AP128" s="68" t="b">
        <f>GenExp!C128=C128</f>
        <v>1</v>
      </c>
    </row>
    <row r="129" spans="1:42" s="16" customFormat="1">
      <c r="A129" s="3" t="s">
        <v>203</v>
      </c>
      <c r="C129" s="16" t="s">
        <v>270</v>
      </c>
      <c r="E129" s="16">
        <v>134999</v>
      </c>
      <c r="G129" s="3">
        <v>598175</v>
      </c>
      <c r="H129" s="3"/>
      <c r="I129" s="3">
        <v>0</v>
      </c>
      <c r="J129" s="3"/>
      <c r="K129" s="8">
        <f>+M129-I129-G129</f>
        <v>206709</v>
      </c>
      <c r="L129" s="3"/>
      <c r="M129" s="3">
        <v>804884</v>
      </c>
      <c r="N129" s="3"/>
      <c r="O129" s="8">
        <f>+S129-Q129</f>
        <v>529626</v>
      </c>
      <c r="P129" s="3"/>
      <c r="Q129" s="3">
        <v>245</v>
      </c>
      <c r="R129" s="3"/>
      <c r="S129" s="3">
        <v>529871</v>
      </c>
      <c r="T129" s="3"/>
      <c r="U129" s="3">
        <v>0</v>
      </c>
      <c r="V129" s="3"/>
      <c r="W129" s="3">
        <v>5843</v>
      </c>
      <c r="X129" s="3"/>
      <c r="Y129" s="3">
        <v>0</v>
      </c>
      <c r="Z129" s="3"/>
      <c r="AA129" s="3">
        <v>218170</v>
      </c>
      <c r="AB129" s="3"/>
      <c r="AC129" s="3">
        <v>51000</v>
      </c>
      <c r="AD129" s="3"/>
      <c r="AE129" s="27">
        <f t="shared" si="8"/>
        <v>275013</v>
      </c>
      <c r="AG129" s="3">
        <f t="shared" si="7"/>
        <v>0</v>
      </c>
      <c r="AJ129" s="3"/>
      <c r="AK129" s="3" t="str">
        <f t="shared" si="11"/>
        <v>Western Buckeye Educ Srv Ctr</v>
      </c>
      <c r="AL129" s="20" t="str">
        <f>GenExp!A129</f>
        <v>Western Buckeye Educ Srv Ctr</v>
      </c>
      <c r="AM129" s="20" t="b">
        <f t="shared" si="12"/>
        <v>1</v>
      </c>
      <c r="AO129" s="20" t="str">
        <f t="shared" si="10"/>
        <v>Paulding</v>
      </c>
      <c r="AP129" s="20" t="b">
        <f>GenExp!C129=C129</f>
        <v>1</v>
      </c>
    </row>
    <row r="130" spans="1:42" s="16" customFormat="1">
      <c r="A130" s="3" t="s">
        <v>423</v>
      </c>
      <c r="C130" s="16" t="s">
        <v>209</v>
      </c>
      <c r="E130" s="16">
        <v>50666</v>
      </c>
      <c r="G130" s="3">
        <v>6316938</v>
      </c>
      <c r="H130" s="3"/>
      <c r="I130" s="3">
        <v>0</v>
      </c>
      <c r="J130" s="3"/>
      <c r="K130" s="8">
        <f t="shared" si="9"/>
        <v>735988</v>
      </c>
      <c r="L130" s="3"/>
      <c r="M130" s="3">
        <v>7052926</v>
      </c>
      <c r="N130" s="3"/>
      <c r="O130" s="8">
        <f t="shared" si="13"/>
        <v>2151453</v>
      </c>
      <c r="P130" s="3"/>
      <c r="Q130" s="3">
        <v>160622</v>
      </c>
      <c r="R130" s="3"/>
      <c r="S130" s="3">
        <v>2312075</v>
      </c>
      <c r="T130" s="3"/>
      <c r="U130" s="3">
        <v>5968</v>
      </c>
      <c r="V130" s="3"/>
      <c r="W130" s="3">
        <v>1904364</v>
      </c>
      <c r="X130" s="3"/>
      <c r="Y130" s="3">
        <v>0</v>
      </c>
      <c r="Z130" s="3"/>
      <c r="AA130" s="3">
        <v>93919</v>
      </c>
      <c r="AB130" s="3"/>
      <c r="AC130" s="3">
        <v>2736600</v>
      </c>
      <c r="AD130" s="3"/>
      <c r="AE130" s="27">
        <f t="shared" si="8"/>
        <v>4740851</v>
      </c>
      <c r="AG130" s="3">
        <f t="shared" si="7"/>
        <v>0</v>
      </c>
      <c r="AJ130" s="3"/>
      <c r="AK130" s="3" t="str">
        <f t="shared" si="11"/>
        <v>Wood County Educ Srv Ctr</v>
      </c>
      <c r="AL130" s="20" t="str">
        <f>GenExp!A130</f>
        <v>Wood County Educ Srv Ctr</v>
      </c>
      <c r="AM130" s="20" t="b">
        <f t="shared" si="12"/>
        <v>1</v>
      </c>
      <c r="AO130" s="20" t="str">
        <f t="shared" si="10"/>
        <v>Wood</v>
      </c>
      <c r="AP130" s="20" t="b">
        <f>GenExp!C130=C130</f>
        <v>1</v>
      </c>
    </row>
    <row r="131" spans="1:42" s="16" customFormat="1">
      <c r="A131" s="3"/>
    </row>
    <row r="132" spans="1:42" s="16" customFormat="1"/>
    <row r="133" spans="1:42" s="16" customFormat="1"/>
    <row r="137" spans="1:42">
      <c r="G137" s="3"/>
      <c r="H137" s="3"/>
      <c r="I137" s="3"/>
      <c r="J137" s="3"/>
      <c r="K137" s="8"/>
      <c r="L137" s="3"/>
      <c r="M137" s="3"/>
      <c r="N137" s="3"/>
      <c r="O137" s="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27"/>
    </row>
  </sheetData>
  <mergeCells count="3">
    <mergeCell ref="G7:K7"/>
    <mergeCell ref="O7:Q7"/>
    <mergeCell ref="U7:AC7"/>
  </mergeCells>
  <phoneticPr fontId="3" type="noConversion"/>
  <pageMargins left="0.9" right="0.75" top="0.5" bottom="0.5" header="0.25" footer="0.25"/>
  <pageSetup scale="80" firstPageNumber="46" pageOrder="overThenDown" orientation="portrait" useFirstPageNumber="1" r:id="rId1"/>
  <headerFooter scaleWithDoc="0" alignWithMargins="0"/>
  <rowBreaks count="1" manualBreakCount="1">
    <brk id="66" max="30" man="1"/>
  </rowBreaks>
  <colBreaks count="1" manualBreakCount="1">
    <brk id="14" max="1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BK203"/>
  <sheetViews>
    <sheetView view="pageBreakPreview" zoomScaleNormal="100" zoomScaleSheetLayoutView="100" workbookViewId="0">
      <pane xSplit="6" ySplit="11" topLeftCell="G49" activePane="bottomRight" state="frozen"/>
      <selection pane="topRight" activeCell="G1" sqref="G1"/>
      <selection pane="bottomLeft" activeCell="A11" sqref="A11"/>
      <selection pane="bottomRight" activeCell="A6" sqref="A6"/>
    </sheetView>
  </sheetViews>
  <sheetFormatPr defaultRowHeight="12"/>
  <cols>
    <col min="1" max="1" width="40.7109375" style="33" customWidth="1"/>
    <col min="2" max="2" width="1.7109375" style="33" customWidth="1"/>
    <col min="3" max="3" width="11.7109375" style="33" customWidth="1"/>
    <col min="4" max="4" width="1.7109375" style="33" hidden="1" customWidth="1"/>
    <col min="5" max="5" width="11.7109375" style="33" hidden="1" customWidth="1"/>
    <col min="6" max="6" width="1.7109375" style="33" customWidth="1"/>
    <col min="7" max="7" width="10.7109375" style="33" customWidth="1"/>
    <col min="8" max="8" width="1.28515625" style="33" customWidth="1"/>
    <col min="9" max="9" width="10.7109375" style="33" customWidth="1"/>
    <col min="10" max="10" width="1.7109375" style="33" customWidth="1"/>
    <col min="11" max="11" width="10.7109375" style="33" customWidth="1"/>
    <col min="12" max="12" width="1.7109375" style="33" customWidth="1"/>
    <col min="13" max="13" width="10.7109375" style="33" customWidth="1"/>
    <col min="14" max="14" width="1.7109375" style="33" customWidth="1"/>
    <col min="15" max="15" width="11.7109375" style="33" customWidth="1"/>
    <col min="16" max="16" width="1.7109375" style="33" customWidth="1"/>
    <col min="17" max="17" width="11.7109375" style="33" customWidth="1"/>
    <col min="18" max="18" width="1.7109375" style="33" customWidth="1"/>
    <col min="19" max="19" width="11.7109375" style="33" customWidth="1"/>
    <col min="20" max="20" width="1.7109375" style="33" customWidth="1"/>
    <col min="21" max="21" width="11.7109375" style="33" customWidth="1"/>
    <col min="22" max="22" width="1.7109375" style="33" customWidth="1"/>
    <col min="23" max="23" width="11.7109375" style="33" customWidth="1"/>
    <col min="24" max="24" width="1.7109375" style="33" customWidth="1"/>
    <col min="25" max="25" width="11.7109375" style="33" customWidth="1"/>
    <col min="26" max="26" width="1.28515625" style="33" customWidth="1"/>
    <col min="27" max="27" width="11.7109375" style="33" customWidth="1"/>
    <col min="28" max="28" width="1.28515625" style="33" customWidth="1"/>
    <col min="29" max="29" width="11.7109375" style="33" customWidth="1"/>
    <col min="30" max="30" width="1.7109375" style="33" hidden="1" customWidth="1"/>
    <col min="31" max="31" width="11.7109375" style="33" hidden="1" customWidth="1"/>
    <col min="32" max="32" width="44.85546875" style="33" customWidth="1"/>
    <col min="33" max="33" width="1.7109375" style="33" customWidth="1"/>
    <col min="34" max="34" width="10.140625" style="33" bestFit="1" customWidth="1"/>
    <col min="35" max="35" width="1.7109375" style="33" customWidth="1"/>
    <col min="36" max="36" width="10.7109375" style="33" customWidth="1"/>
    <col min="37" max="37" width="1.7109375" style="33" customWidth="1"/>
    <col min="38" max="38" width="12.7109375" style="33" customWidth="1"/>
    <col min="39" max="39" width="1.7109375" style="33" hidden="1" customWidth="1"/>
    <col min="40" max="40" width="11.7109375" style="33" hidden="1" customWidth="1"/>
    <col min="41" max="41" width="1.85546875" style="33" customWidth="1"/>
    <col min="42" max="42" width="12.28515625" style="33" customWidth="1"/>
    <col min="43" max="43" width="1.7109375" style="33" customWidth="1"/>
    <col min="44" max="44" width="11.140625" style="33" customWidth="1"/>
    <col min="45" max="45" width="2.140625" style="33" customWidth="1"/>
    <col min="46" max="46" width="11.7109375" style="33" customWidth="1"/>
    <col min="47" max="47" width="2.140625" style="33" customWidth="1"/>
    <col min="48" max="48" width="13.7109375" style="33" customWidth="1"/>
    <col min="49" max="50" width="1.28515625" style="33" customWidth="1"/>
    <col min="51" max="51" width="21.5703125" style="33" customWidth="1"/>
    <col min="52" max="52" width="17.140625" style="33" customWidth="1"/>
    <col min="53" max="53" width="16.85546875" style="33" customWidth="1"/>
    <col min="54" max="54" width="20.42578125" style="33" customWidth="1"/>
    <col min="55" max="55" width="13.28515625" style="33" customWidth="1"/>
    <col min="56" max="56" width="4.140625" style="33" customWidth="1"/>
    <col min="57" max="58" width="9.140625" style="33"/>
    <col min="59" max="59" width="3.7109375" style="33" customWidth="1"/>
    <col min="60" max="16384" width="9.140625" style="33"/>
  </cols>
  <sheetData>
    <row r="1" spans="1:60" s="7" customFormat="1">
      <c r="A1" s="4" t="s">
        <v>128</v>
      </c>
      <c r="B1" s="4"/>
      <c r="C1" s="4"/>
      <c r="D1" s="4"/>
      <c r="E1" s="4"/>
      <c r="F1" s="42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  <c r="AE1" s="47"/>
      <c r="AF1" s="4" t="s">
        <v>128</v>
      </c>
      <c r="AG1" s="4"/>
      <c r="AH1" s="4"/>
      <c r="AI1" s="47"/>
      <c r="AJ1" s="47"/>
      <c r="AK1" s="47"/>
      <c r="AL1" s="47"/>
      <c r="AM1" s="47"/>
      <c r="AN1" s="47"/>
      <c r="AO1" s="47"/>
      <c r="AP1" s="47"/>
    </row>
    <row r="2" spans="1:60" s="7" customFormat="1">
      <c r="A2" s="4" t="s">
        <v>298</v>
      </c>
      <c r="B2" s="4"/>
      <c r="C2" s="4"/>
      <c r="D2" s="4"/>
      <c r="E2" s="4"/>
      <c r="F2" s="42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7"/>
      <c r="AE2" s="47"/>
      <c r="AF2" s="4" t="s">
        <v>298</v>
      </c>
      <c r="AG2" s="4"/>
      <c r="AH2" s="4"/>
      <c r="AI2" s="47"/>
      <c r="AJ2" s="47"/>
      <c r="AK2" s="47"/>
      <c r="AL2" s="47"/>
      <c r="AM2" s="47"/>
      <c r="AN2" s="47"/>
      <c r="AO2" s="47"/>
      <c r="AP2" s="47"/>
    </row>
    <row r="3" spans="1:60" s="3" customFormat="1">
      <c r="A3" s="37" t="s">
        <v>266</v>
      </c>
      <c r="B3" s="5"/>
      <c r="C3" s="5"/>
      <c r="D3" s="5"/>
      <c r="E3" s="5"/>
      <c r="F3" s="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7"/>
      <c r="AE3" s="17"/>
      <c r="AF3" s="37" t="s">
        <v>266</v>
      </c>
      <c r="AG3" s="5"/>
      <c r="AH3" s="5"/>
      <c r="AI3" s="17"/>
      <c r="AJ3" s="17"/>
      <c r="AK3" s="17"/>
      <c r="AL3" s="17"/>
      <c r="AM3" s="17"/>
      <c r="AN3" s="17"/>
      <c r="AO3" s="17"/>
      <c r="AP3" s="17"/>
    </row>
    <row r="4" spans="1:60" s="3" customFormat="1">
      <c r="A4" s="7" t="s">
        <v>269</v>
      </c>
      <c r="B4" s="4"/>
      <c r="C4" s="4"/>
      <c r="D4" s="4"/>
      <c r="E4" s="4"/>
      <c r="F4" s="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7"/>
      <c r="AE4" s="17"/>
      <c r="AF4" s="7" t="s">
        <v>269</v>
      </c>
      <c r="AG4" s="4"/>
      <c r="AH4" s="4"/>
      <c r="AI4" s="17"/>
      <c r="AJ4" s="17"/>
      <c r="AK4" s="17"/>
      <c r="AL4" s="17"/>
      <c r="AM4" s="17"/>
      <c r="AN4" s="17"/>
      <c r="AO4" s="17"/>
      <c r="AP4" s="11"/>
    </row>
    <row r="5" spans="1:60" s="3" customFormat="1">
      <c r="A5" s="19"/>
      <c r="B5" s="4"/>
      <c r="C5" s="4"/>
      <c r="D5" s="4"/>
      <c r="E5" s="4"/>
      <c r="F5" s="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7"/>
      <c r="AE5" s="17"/>
      <c r="AF5" s="19"/>
      <c r="AG5" s="4"/>
      <c r="AH5" s="4"/>
      <c r="AI5" s="17"/>
      <c r="AJ5" s="17"/>
      <c r="AK5" s="17"/>
      <c r="AL5" s="17"/>
      <c r="AM5" s="17"/>
      <c r="AN5" s="17"/>
      <c r="AO5" s="17"/>
      <c r="AP5" s="11"/>
    </row>
    <row r="6" spans="1:60" s="7" customFormat="1">
      <c r="A6" s="35" t="s">
        <v>380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F6" s="35" t="s">
        <v>380</v>
      </c>
      <c r="AG6" s="5"/>
      <c r="AH6" s="5"/>
      <c r="AP6" s="2"/>
      <c r="AV6" s="11" t="s">
        <v>8</v>
      </c>
    </row>
    <row r="7" spans="1:60" s="11" customForma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43" t="s">
        <v>99</v>
      </c>
      <c r="Z7" s="43"/>
      <c r="AA7" s="43"/>
      <c r="AB7" s="43"/>
      <c r="AC7" s="43"/>
      <c r="AD7" s="43"/>
      <c r="AE7" s="43"/>
      <c r="AG7" s="2"/>
      <c r="AH7" s="2"/>
      <c r="AI7" s="5"/>
      <c r="AJ7" s="101" t="s">
        <v>430</v>
      </c>
      <c r="AK7" s="101"/>
      <c r="AL7" s="101"/>
      <c r="AM7" s="101"/>
      <c r="AN7" s="101"/>
      <c r="AO7" s="101"/>
      <c r="AP7" s="101"/>
      <c r="AT7" s="11" t="s">
        <v>8</v>
      </c>
      <c r="AV7" s="11" t="s">
        <v>283</v>
      </c>
    </row>
    <row r="8" spans="1:60" s="11" customFormat="1">
      <c r="B8" s="2"/>
      <c r="C8" s="2"/>
      <c r="D8" s="2"/>
      <c r="E8" s="2"/>
      <c r="F8" s="2"/>
      <c r="G8" s="2" t="s">
        <v>243</v>
      </c>
      <c r="H8" s="2"/>
      <c r="I8" s="2"/>
      <c r="J8" s="2"/>
      <c r="K8" s="2"/>
      <c r="L8" s="2"/>
      <c r="M8" s="2"/>
      <c r="N8" s="2"/>
      <c r="O8" s="2" t="s">
        <v>28</v>
      </c>
      <c r="P8" s="2"/>
      <c r="Q8" s="2" t="s">
        <v>100</v>
      </c>
      <c r="R8" s="2"/>
      <c r="S8" s="2" t="s">
        <v>30</v>
      </c>
      <c r="T8" s="2"/>
      <c r="U8" s="2"/>
      <c r="V8" s="2"/>
      <c r="W8" s="2"/>
      <c r="X8" s="2"/>
      <c r="AG8" s="2"/>
      <c r="AH8" s="2"/>
      <c r="AJ8" s="11" t="s">
        <v>238</v>
      </c>
      <c r="AL8" s="11" t="s">
        <v>229</v>
      </c>
      <c r="AN8" s="11" t="s">
        <v>234</v>
      </c>
      <c r="AP8" s="11" t="s">
        <v>70</v>
      </c>
      <c r="AT8" s="11" t="s">
        <v>85</v>
      </c>
      <c r="AV8" s="11" t="s">
        <v>284</v>
      </c>
    </row>
    <row r="9" spans="1:60" s="11" customFormat="1">
      <c r="A9" s="2"/>
      <c r="B9" s="2"/>
      <c r="C9" s="2"/>
      <c r="D9" s="2"/>
      <c r="E9" s="2"/>
      <c r="F9" s="2"/>
      <c r="G9" s="2" t="s">
        <v>244</v>
      </c>
      <c r="H9" s="2"/>
      <c r="I9" s="2" t="s">
        <v>101</v>
      </c>
      <c r="J9" s="2"/>
      <c r="K9" s="2"/>
      <c r="L9" s="2"/>
      <c r="M9" s="2" t="s">
        <v>38</v>
      </c>
      <c r="N9" s="2"/>
      <c r="O9" s="2" t="s">
        <v>39</v>
      </c>
      <c r="P9" s="2"/>
      <c r="Q9" s="2" t="s">
        <v>102</v>
      </c>
      <c r="R9" s="2"/>
      <c r="S9" s="2" t="s">
        <v>41</v>
      </c>
      <c r="T9" s="2"/>
      <c r="U9" s="2" t="s">
        <v>70</v>
      </c>
      <c r="V9" s="2"/>
      <c r="W9" s="2" t="s">
        <v>8</v>
      </c>
      <c r="X9" s="2"/>
      <c r="Y9" s="2"/>
      <c r="Z9" s="2"/>
      <c r="AA9" s="11" t="s">
        <v>103</v>
      </c>
      <c r="AC9" s="11" t="s">
        <v>104</v>
      </c>
      <c r="AF9" s="2"/>
      <c r="AG9" s="2"/>
      <c r="AH9" s="2"/>
      <c r="AJ9" s="11" t="s">
        <v>239</v>
      </c>
      <c r="AL9" s="11" t="s">
        <v>231</v>
      </c>
      <c r="AN9" s="11" t="s">
        <v>235</v>
      </c>
      <c r="AP9" s="11" t="s">
        <v>105</v>
      </c>
      <c r="AR9" s="11" t="s">
        <v>31</v>
      </c>
      <c r="AT9" s="11" t="s">
        <v>105</v>
      </c>
      <c r="AV9" s="11" t="s">
        <v>285</v>
      </c>
    </row>
    <row r="10" spans="1:60" s="11" customFormat="1">
      <c r="A10" s="31" t="s">
        <v>295</v>
      </c>
      <c r="C10" s="31" t="s">
        <v>12</v>
      </c>
      <c r="E10" s="31" t="s">
        <v>13</v>
      </c>
      <c r="F10" s="2"/>
      <c r="G10" s="62" t="s">
        <v>47</v>
      </c>
      <c r="H10" s="31"/>
      <c r="I10" s="31" t="s">
        <v>106</v>
      </c>
      <c r="J10" s="2"/>
      <c r="K10" s="31" t="s">
        <v>86</v>
      </c>
      <c r="L10" s="2"/>
      <c r="M10" s="31" t="s">
        <v>50</v>
      </c>
      <c r="N10" s="2"/>
      <c r="O10" s="31" t="s">
        <v>51</v>
      </c>
      <c r="P10" s="2"/>
      <c r="Q10" s="31" t="s">
        <v>107</v>
      </c>
      <c r="R10" s="2"/>
      <c r="S10" s="31" t="s">
        <v>52</v>
      </c>
      <c r="T10" s="2"/>
      <c r="U10" s="31" t="s">
        <v>96</v>
      </c>
      <c r="V10" s="2"/>
      <c r="W10" s="31" t="s">
        <v>32</v>
      </c>
      <c r="X10" s="2"/>
      <c r="Y10" s="31" t="s">
        <v>108</v>
      </c>
      <c r="Z10" s="2"/>
      <c r="AA10" s="31" t="s">
        <v>110</v>
      </c>
      <c r="AC10" s="31" t="s">
        <v>110</v>
      </c>
      <c r="AE10" s="31" t="s">
        <v>109</v>
      </c>
      <c r="AF10" s="31" t="s">
        <v>295</v>
      </c>
      <c r="AH10" s="31" t="s">
        <v>12</v>
      </c>
      <c r="AI10" s="2"/>
      <c r="AJ10" s="31" t="s">
        <v>230</v>
      </c>
      <c r="AL10" s="31" t="s">
        <v>17</v>
      </c>
      <c r="AN10" s="11" t="s">
        <v>117</v>
      </c>
      <c r="AP10" s="31" t="s">
        <v>111</v>
      </c>
      <c r="AR10" s="31" t="s">
        <v>247</v>
      </c>
      <c r="AT10" s="31" t="s">
        <v>111</v>
      </c>
      <c r="AV10" s="31" t="s">
        <v>247</v>
      </c>
    </row>
    <row r="11" spans="1:60" s="11" customFormat="1">
      <c r="A11" s="2"/>
      <c r="C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C11" s="2"/>
      <c r="AE11" s="2"/>
      <c r="AF11" s="2"/>
      <c r="AH11" s="2"/>
      <c r="AI11" s="2"/>
      <c r="AJ11" s="2"/>
      <c r="AL11" s="2"/>
      <c r="AP11" s="2"/>
      <c r="AR11" s="2"/>
      <c r="AT11" s="2"/>
      <c r="AV11" s="2"/>
      <c r="AZ11" s="11" t="s">
        <v>349</v>
      </c>
      <c r="BA11" s="11" t="s">
        <v>358</v>
      </c>
      <c r="BB11" s="11" t="s">
        <v>359</v>
      </c>
      <c r="BE11" s="11" t="s">
        <v>365</v>
      </c>
      <c r="BF11" s="11" t="s">
        <v>368</v>
      </c>
      <c r="BH11" s="11" t="s">
        <v>372</v>
      </c>
    </row>
    <row r="12" spans="1:60">
      <c r="A12" s="38" t="s">
        <v>264</v>
      </c>
      <c r="AF12" s="38" t="s">
        <v>264</v>
      </c>
    </row>
    <row r="13" spans="1:60">
      <c r="A13" s="38"/>
      <c r="AF13" s="38"/>
    </row>
    <row r="14" spans="1:60">
      <c r="A14" s="3" t="s">
        <v>306</v>
      </c>
      <c r="B14" s="3"/>
      <c r="C14" s="3" t="s">
        <v>272</v>
      </c>
      <c r="G14" s="21">
        <v>3812712</v>
      </c>
      <c r="H14" s="21"/>
      <c r="I14" s="21">
        <v>7381580</v>
      </c>
      <c r="J14" s="21"/>
      <c r="K14" s="21">
        <v>103338</v>
      </c>
      <c r="L14" s="21"/>
      <c r="M14" s="21">
        <v>733890</v>
      </c>
      <c r="N14" s="21"/>
      <c r="O14" s="21">
        <v>0</v>
      </c>
      <c r="P14" s="21"/>
      <c r="Q14" s="21">
        <v>0</v>
      </c>
      <c r="R14" s="21"/>
      <c r="S14" s="21">
        <v>0</v>
      </c>
      <c r="T14" s="21"/>
      <c r="U14" s="21">
        <f>280534+75151</f>
        <v>355685</v>
      </c>
      <c r="V14" s="21"/>
      <c r="W14" s="25">
        <f t="shared" ref="W14:W45" si="0">SUM(G14:V14)</f>
        <v>12387205</v>
      </c>
      <c r="X14" s="21"/>
      <c r="Y14" s="21">
        <v>0</v>
      </c>
      <c r="Z14" s="21"/>
      <c r="AA14" s="21">
        <v>0</v>
      </c>
      <c r="AB14" s="21"/>
      <c r="AC14" s="21">
        <v>0</v>
      </c>
      <c r="AD14" s="21"/>
      <c r="AE14" s="21">
        <v>0</v>
      </c>
      <c r="AF14" s="3" t="s">
        <v>306</v>
      </c>
      <c r="AG14" s="3"/>
      <c r="AH14" s="3" t="s">
        <v>272</v>
      </c>
      <c r="AI14" s="21"/>
      <c r="AJ14" s="21">
        <v>0</v>
      </c>
      <c r="AK14" s="21"/>
      <c r="AL14" s="21">
        <v>0</v>
      </c>
      <c r="AM14" s="21"/>
      <c r="AN14" s="21">
        <v>0</v>
      </c>
      <c r="AO14" s="21"/>
      <c r="AP14" s="21">
        <v>0</v>
      </c>
      <c r="AQ14" s="21"/>
      <c r="AR14" s="21">
        <v>0</v>
      </c>
      <c r="AS14" s="21"/>
      <c r="AT14" s="25">
        <f t="shared" ref="AT14:AT45" si="1">SUM(Y14:AR14)</f>
        <v>0</v>
      </c>
      <c r="AU14" s="21"/>
      <c r="AV14" s="25">
        <f t="shared" ref="AV14:AV45" si="2">+AT14+W14</f>
        <v>12387205</v>
      </c>
      <c r="AW14" s="20"/>
      <c r="AX14" s="20"/>
      <c r="AY14" s="16" t="s">
        <v>303</v>
      </c>
      <c r="AZ14" s="3" t="str">
        <f t="shared" ref="AZ14:AZ45" si="3">A14</f>
        <v>Apollo Career Center</v>
      </c>
      <c r="BA14" s="3" t="b">
        <f t="shared" ref="BA14:BA45" si="4">A14=AF14</f>
        <v>1</v>
      </c>
      <c r="BB14" s="20" t="str">
        <f>GovBS!A14</f>
        <v>Apollo Career Center</v>
      </c>
      <c r="BC14" s="20" t="b">
        <f t="shared" ref="BC14:BC45" si="5">AZ14=BB14</f>
        <v>1</v>
      </c>
      <c r="BD14" s="20"/>
      <c r="BE14" s="20" t="str">
        <f t="shared" ref="BE14:BE45" si="6">C14</f>
        <v>Allen</v>
      </c>
      <c r="BF14" s="20" t="b">
        <f t="shared" ref="BF14:BF45" si="7">C14=AH14</f>
        <v>1</v>
      </c>
      <c r="BG14" s="20"/>
      <c r="BH14" s="20" t="b">
        <f>C14=GovBS!C14</f>
        <v>1</v>
      </c>
    </row>
    <row r="15" spans="1:60" s="20" customFormat="1">
      <c r="A15" s="3" t="s">
        <v>249</v>
      </c>
      <c r="C15" s="20" t="s">
        <v>146</v>
      </c>
      <c r="E15" s="26">
        <v>62042</v>
      </c>
      <c r="G15" s="17">
        <v>3099998</v>
      </c>
      <c r="H15" s="17"/>
      <c r="I15" s="17">
        <v>4490153</v>
      </c>
      <c r="J15" s="17"/>
      <c r="K15" s="17">
        <v>10528</v>
      </c>
      <c r="L15" s="17"/>
      <c r="M15" s="17">
        <v>739961</v>
      </c>
      <c r="N15" s="17"/>
      <c r="O15" s="17">
        <v>0</v>
      </c>
      <c r="P15" s="17"/>
      <c r="Q15" s="17">
        <v>0</v>
      </c>
      <c r="R15" s="17"/>
      <c r="S15" s="17">
        <v>3955</v>
      </c>
      <c r="T15" s="17"/>
      <c r="U15" s="17">
        <f>41578+144110+3025</f>
        <v>188713</v>
      </c>
      <c r="V15" s="17"/>
      <c r="W15" s="28">
        <f t="shared" si="0"/>
        <v>8533308</v>
      </c>
      <c r="X15" s="17"/>
      <c r="Y15" s="17">
        <v>20000</v>
      </c>
      <c r="Z15" s="17"/>
      <c r="AA15" s="17">
        <v>0</v>
      </c>
      <c r="AB15" s="17"/>
      <c r="AC15" s="17">
        <v>0</v>
      </c>
      <c r="AD15" s="17"/>
      <c r="AE15" s="17">
        <v>0</v>
      </c>
      <c r="AF15" s="3" t="s">
        <v>249</v>
      </c>
      <c r="AH15" s="20" t="s">
        <v>146</v>
      </c>
      <c r="AI15" s="21"/>
      <c r="AJ15" s="17">
        <v>0</v>
      </c>
      <c r="AK15" s="17"/>
      <c r="AL15" s="17">
        <v>0</v>
      </c>
      <c r="AM15" s="17"/>
      <c r="AN15" s="17">
        <v>0</v>
      </c>
      <c r="AO15" s="17"/>
      <c r="AP15" s="17">
        <v>0</v>
      </c>
      <c r="AQ15" s="17"/>
      <c r="AR15" s="17">
        <v>0</v>
      </c>
      <c r="AS15" s="17"/>
      <c r="AT15" s="28">
        <f t="shared" si="1"/>
        <v>20000</v>
      </c>
      <c r="AU15" s="17"/>
      <c r="AV15" s="28">
        <f t="shared" si="2"/>
        <v>8553308</v>
      </c>
      <c r="AW15" s="16"/>
      <c r="AX15" s="16"/>
      <c r="AY15" s="3"/>
      <c r="AZ15" s="3" t="str">
        <f t="shared" si="3"/>
        <v>Ashland County-West Holmes JVSD</v>
      </c>
      <c r="BA15" s="3" t="b">
        <f t="shared" si="4"/>
        <v>1</v>
      </c>
      <c r="BB15" s="20" t="str">
        <f>GovBS!A15</f>
        <v>Ashland County-West Holmes JVSD</v>
      </c>
      <c r="BC15" s="20" t="b">
        <f t="shared" si="5"/>
        <v>1</v>
      </c>
      <c r="BD15" s="16"/>
      <c r="BE15" s="20" t="str">
        <f t="shared" si="6"/>
        <v>Ashland</v>
      </c>
      <c r="BF15" s="20" t="b">
        <f t="shared" si="7"/>
        <v>1</v>
      </c>
      <c r="BG15" s="16"/>
      <c r="BH15" s="20" t="b">
        <f>C15=GovBS!C15</f>
        <v>1</v>
      </c>
    </row>
    <row r="16" spans="1:60" s="16" customFormat="1">
      <c r="A16" s="3" t="s">
        <v>210</v>
      </c>
      <c r="C16" s="16" t="s">
        <v>147</v>
      </c>
      <c r="E16" s="16">
        <v>50815</v>
      </c>
      <c r="G16" s="17">
        <v>4196838</v>
      </c>
      <c r="H16" s="17"/>
      <c r="I16" s="17">
        <v>9967524</v>
      </c>
      <c r="J16" s="17"/>
      <c r="K16" s="17">
        <v>29085</v>
      </c>
      <c r="L16" s="17"/>
      <c r="M16" s="17">
        <v>741985</v>
      </c>
      <c r="N16" s="17"/>
      <c r="O16" s="17">
        <v>16080</v>
      </c>
      <c r="P16" s="17"/>
      <c r="Q16" s="17">
        <v>0</v>
      </c>
      <c r="R16" s="17"/>
      <c r="S16" s="17">
        <v>16264</v>
      </c>
      <c r="T16" s="17"/>
      <c r="U16" s="17">
        <f>74118+23217+538829</f>
        <v>636164</v>
      </c>
      <c r="V16" s="17"/>
      <c r="W16" s="28">
        <f t="shared" si="0"/>
        <v>15603940</v>
      </c>
      <c r="X16" s="17"/>
      <c r="Y16" s="17">
        <v>28000</v>
      </c>
      <c r="Z16" s="17"/>
      <c r="AA16" s="17">
        <v>0</v>
      </c>
      <c r="AB16" s="17"/>
      <c r="AC16" s="17">
        <v>0</v>
      </c>
      <c r="AD16" s="17"/>
      <c r="AE16" s="17">
        <v>0</v>
      </c>
      <c r="AF16" s="3" t="s">
        <v>210</v>
      </c>
      <c r="AH16" s="16" t="s">
        <v>147</v>
      </c>
      <c r="AI16" s="17"/>
      <c r="AJ16" s="17">
        <v>0</v>
      </c>
      <c r="AK16" s="17"/>
      <c r="AL16" s="17">
        <v>0</v>
      </c>
      <c r="AM16" s="17"/>
      <c r="AN16" s="17">
        <v>0</v>
      </c>
      <c r="AO16" s="17"/>
      <c r="AP16" s="17">
        <v>0</v>
      </c>
      <c r="AQ16" s="17"/>
      <c r="AR16" s="17">
        <v>0</v>
      </c>
      <c r="AS16" s="17"/>
      <c r="AT16" s="28">
        <f t="shared" si="1"/>
        <v>28000</v>
      </c>
      <c r="AU16" s="17"/>
      <c r="AV16" s="28">
        <f t="shared" si="2"/>
        <v>15631940</v>
      </c>
      <c r="AY16" s="3"/>
      <c r="AZ16" s="3" t="str">
        <f t="shared" si="3"/>
        <v>Ashtabula County JVSD</v>
      </c>
      <c r="BA16" s="3" t="b">
        <f t="shared" si="4"/>
        <v>1</v>
      </c>
      <c r="BB16" s="20" t="str">
        <f>GovBS!A16</f>
        <v>Ashtabula County JVSD</v>
      </c>
      <c r="BC16" s="20" t="b">
        <f t="shared" si="5"/>
        <v>1</v>
      </c>
      <c r="BE16" s="20" t="str">
        <f t="shared" si="6"/>
        <v>Ashtabula</v>
      </c>
      <c r="BF16" s="20" t="b">
        <f t="shared" si="7"/>
        <v>1</v>
      </c>
      <c r="BH16" s="20" t="b">
        <f>C16=GovBS!C16</f>
        <v>1</v>
      </c>
    </row>
    <row r="17" spans="1:60" s="16" customFormat="1">
      <c r="A17" s="3" t="s">
        <v>325</v>
      </c>
      <c r="C17" s="16" t="s">
        <v>149</v>
      </c>
      <c r="E17" s="16">
        <v>51169</v>
      </c>
      <c r="G17" s="3">
        <v>5689546</v>
      </c>
      <c r="H17" s="3"/>
      <c r="I17" s="3">
        <v>4560223</v>
      </c>
      <c r="J17" s="3"/>
      <c r="K17" s="3">
        <v>38893</v>
      </c>
      <c r="L17" s="3"/>
      <c r="M17" s="3">
        <v>804843</v>
      </c>
      <c r="N17" s="3"/>
      <c r="O17" s="3">
        <v>0</v>
      </c>
      <c r="P17" s="3"/>
      <c r="Q17" s="3">
        <v>0</v>
      </c>
      <c r="R17" s="3"/>
      <c r="S17" s="3">
        <v>0</v>
      </c>
      <c r="T17" s="3"/>
      <c r="U17" s="3">
        <f>157222+22188+81484</f>
        <v>260894</v>
      </c>
      <c r="V17" s="3"/>
      <c r="W17" s="28">
        <f t="shared" si="0"/>
        <v>11354399</v>
      </c>
      <c r="X17" s="3"/>
      <c r="Y17" s="3">
        <v>71095</v>
      </c>
      <c r="Z17" s="3"/>
      <c r="AA17" s="3">
        <v>0</v>
      </c>
      <c r="AB17" s="3"/>
      <c r="AC17" s="3">
        <v>0</v>
      </c>
      <c r="AD17" s="3"/>
      <c r="AE17" s="3">
        <v>0</v>
      </c>
      <c r="AF17" s="3" t="s">
        <v>325</v>
      </c>
      <c r="AH17" s="16" t="s">
        <v>149</v>
      </c>
      <c r="AI17" s="3"/>
      <c r="AJ17" s="3">
        <v>0</v>
      </c>
      <c r="AK17" s="3"/>
      <c r="AL17" s="3">
        <v>0</v>
      </c>
      <c r="AM17" s="3"/>
      <c r="AN17" s="3">
        <v>0</v>
      </c>
      <c r="AO17" s="3"/>
      <c r="AP17" s="3">
        <v>0</v>
      </c>
      <c r="AQ17" s="3"/>
      <c r="AR17" s="3">
        <v>0</v>
      </c>
      <c r="AS17" s="3"/>
      <c r="AT17" s="28">
        <f t="shared" si="1"/>
        <v>71095</v>
      </c>
      <c r="AU17" s="36"/>
      <c r="AV17" s="28">
        <f t="shared" si="2"/>
        <v>11425494</v>
      </c>
      <c r="AW17" s="33"/>
      <c r="AX17" s="33"/>
      <c r="AY17" s="3"/>
      <c r="AZ17" s="3" t="str">
        <f t="shared" si="3"/>
        <v>Auburn VSD</v>
      </c>
      <c r="BA17" s="3" t="b">
        <f t="shared" si="4"/>
        <v>1</v>
      </c>
      <c r="BB17" s="20" t="str">
        <f>GovBS!A17</f>
        <v>Auburn VSD</v>
      </c>
      <c r="BC17" s="20" t="b">
        <f t="shared" si="5"/>
        <v>1</v>
      </c>
      <c r="BD17" s="33"/>
      <c r="BE17" s="20" t="str">
        <f t="shared" si="6"/>
        <v>Lake</v>
      </c>
      <c r="BF17" s="20" t="b">
        <f t="shared" si="7"/>
        <v>1</v>
      </c>
      <c r="BH17" s="20" t="b">
        <f>C17=GovBS!C17</f>
        <v>1</v>
      </c>
    </row>
    <row r="18" spans="1:60" s="16" customFormat="1">
      <c r="A18" s="3" t="s">
        <v>326</v>
      </c>
      <c r="C18" s="16" t="s">
        <v>152</v>
      </c>
      <c r="E18" s="16">
        <v>50856</v>
      </c>
      <c r="G18" s="17">
        <v>1545828</v>
      </c>
      <c r="H18" s="17"/>
      <c r="I18" s="17">
        <v>5078788</v>
      </c>
      <c r="J18" s="17"/>
      <c r="K18" s="17">
        <v>6195</v>
      </c>
      <c r="L18" s="17"/>
      <c r="M18" s="17">
        <v>80405</v>
      </c>
      <c r="N18" s="17"/>
      <c r="O18" s="17">
        <v>14343</v>
      </c>
      <c r="P18" s="17"/>
      <c r="Q18" s="17">
        <v>0</v>
      </c>
      <c r="R18" s="17"/>
      <c r="S18" s="17">
        <v>0</v>
      </c>
      <c r="T18" s="17"/>
      <c r="U18" s="17">
        <f>12000+83573+27215</f>
        <v>122788</v>
      </c>
      <c r="V18" s="17"/>
      <c r="W18" s="28">
        <f t="shared" si="0"/>
        <v>6848347</v>
      </c>
      <c r="X18" s="17"/>
      <c r="Y18" s="17">
        <v>0</v>
      </c>
      <c r="Z18" s="17"/>
      <c r="AA18" s="17">
        <v>0</v>
      </c>
      <c r="AB18" s="17"/>
      <c r="AC18" s="17">
        <v>0</v>
      </c>
      <c r="AD18" s="17"/>
      <c r="AE18" s="17">
        <v>0</v>
      </c>
      <c r="AF18" s="3" t="s">
        <v>326</v>
      </c>
      <c r="AH18" s="16" t="s">
        <v>152</v>
      </c>
      <c r="AI18" s="17"/>
      <c r="AJ18" s="17">
        <v>0</v>
      </c>
      <c r="AK18" s="17"/>
      <c r="AL18" s="17">
        <v>6274</v>
      </c>
      <c r="AM18" s="17"/>
      <c r="AN18" s="17">
        <v>0</v>
      </c>
      <c r="AO18" s="17"/>
      <c r="AP18" s="17">
        <v>0</v>
      </c>
      <c r="AQ18" s="17"/>
      <c r="AR18" s="17">
        <v>0</v>
      </c>
      <c r="AS18" s="17"/>
      <c r="AT18" s="28">
        <f t="shared" si="1"/>
        <v>6274</v>
      </c>
      <c r="AU18" s="17"/>
      <c r="AV18" s="28">
        <f t="shared" si="2"/>
        <v>6854621</v>
      </c>
      <c r="AY18" s="3"/>
      <c r="AZ18" s="3" t="str">
        <f t="shared" si="3"/>
        <v>Belmont-Harrison VSD</v>
      </c>
      <c r="BA18" s="3" t="b">
        <f t="shared" si="4"/>
        <v>1</v>
      </c>
      <c r="BB18" s="20" t="str">
        <f>GovBS!A18</f>
        <v>Belmont-Harrison VSD</v>
      </c>
      <c r="BC18" s="20" t="b">
        <f t="shared" si="5"/>
        <v>1</v>
      </c>
      <c r="BE18" s="20" t="str">
        <f t="shared" si="6"/>
        <v>Belmont</v>
      </c>
      <c r="BF18" s="20" t="b">
        <f t="shared" si="7"/>
        <v>1</v>
      </c>
      <c r="BH18" s="20" t="b">
        <f>C18=GovBS!C18</f>
        <v>1</v>
      </c>
    </row>
    <row r="19" spans="1:60" s="16" customFormat="1">
      <c r="A19" s="3" t="s">
        <v>227</v>
      </c>
      <c r="C19" s="16" t="s">
        <v>202</v>
      </c>
      <c r="E19" s="16">
        <v>51656</v>
      </c>
      <c r="G19" s="17">
        <v>4691107</v>
      </c>
      <c r="H19" s="17"/>
      <c r="I19" s="17">
        <f>652+8099500+831769</f>
        <v>8931921</v>
      </c>
      <c r="J19" s="17"/>
      <c r="K19" s="17">
        <v>75050</v>
      </c>
      <c r="L19" s="17"/>
      <c r="M19" s="17">
        <v>1278292</v>
      </c>
      <c r="N19" s="17"/>
      <c r="O19" s="17">
        <v>0</v>
      </c>
      <c r="P19" s="17"/>
      <c r="Q19" s="17">
        <v>0</v>
      </c>
      <c r="R19" s="17"/>
      <c r="S19" s="17">
        <v>3000</v>
      </c>
      <c r="T19" s="17"/>
      <c r="U19" s="17">
        <f>190998+212639+31320+110169</f>
        <v>545126</v>
      </c>
      <c r="V19" s="17"/>
      <c r="W19" s="28">
        <f t="shared" si="0"/>
        <v>15524496</v>
      </c>
      <c r="X19" s="17"/>
      <c r="Y19" s="17">
        <v>55400</v>
      </c>
      <c r="Z19" s="17"/>
      <c r="AA19" s="17">
        <v>0</v>
      </c>
      <c r="AB19" s="17"/>
      <c r="AC19" s="17">
        <v>0</v>
      </c>
      <c r="AD19" s="17"/>
      <c r="AE19" s="17">
        <v>0</v>
      </c>
      <c r="AF19" s="3" t="s">
        <v>227</v>
      </c>
      <c r="AH19" s="16" t="s">
        <v>202</v>
      </c>
      <c r="AI19" s="17"/>
      <c r="AJ19" s="17">
        <v>101063</v>
      </c>
      <c r="AK19" s="17"/>
      <c r="AL19" s="17">
        <v>6658</v>
      </c>
      <c r="AM19" s="17"/>
      <c r="AN19" s="17">
        <v>0</v>
      </c>
      <c r="AO19" s="17"/>
      <c r="AP19" s="17">
        <v>0</v>
      </c>
      <c r="AQ19" s="17"/>
      <c r="AR19" s="17">
        <v>0</v>
      </c>
      <c r="AS19" s="17"/>
      <c r="AT19" s="28">
        <f t="shared" si="1"/>
        <v>163121</v>
      </c>
      <c r="AU19" s="17"/>
      <c r="AV19" s="28">
        <f t="shared" si="2"/>
        <v>15687617</v>
      </c>
      <c r="AY19" s="3"/>
      <c r="AZ19" s="3" t="str">
        <f t="shared" si="3"/>
        <v>Buckeye JVSD</v>
      </c>
      <c r="BA19" s="3" t="b">
        <f t="shared" si="4"/>
        <v>1</v>
      </c>
      <c r="BB19" s="20" t="str">
        <f>GovBS!A19</f>
        <v>Buckeye JVSD</v>
      </c>
      <c r="BC19" s="20" t="b">
        <f t="shared" si="5"/>
        <v>1</v>
      </c>
      <c r="BE19" s="20" t="str">
        <f t="shared" si="6"/>
        <v>Tuscarawas</v>
      </c>
      <c r="BF19" s="20" t="b">
        <f t="shared" si="7"/>
        <v>1</v>
      </c>
      <c r="BH19" s="20" t="b">
        <f>C19=GovBS!C19</f>
        <v>1</v>
      </c>
    </row>
    <row r="20" spans="1:60" s="16" customFormat="1">
      <c r="A20" s="3" t="s">
        <v>287</v>
      </c>
      <c r="C20" s="16" t="s">
        <v>150</v>
      </c>
      <c r="E20" s="16">
        <v>50880</v>
      </c>
      <c r="G20" s="17">
        <v>14327525</v>
      </c>
      <c r="H20" s="17"/>
      <c r="I20" s="17">
        <v>27548037</v>
      </c>
      <c r="J20" s="17"/>
      <c r="K20" s="17">
        <v>53738</v>
      </c>
      <c r="L20" s="17"/>
      <c r="M20" s="17">
        <v>766682</v>
      </c>
      <c r="N20" s="17"/>
      <c r="O20" s="17">
        <v>0</v>
      </c>
      <c r="P20" s="17"/>
      <c r="Q20" s="17">
        <v>0</v>
      </c>
      <c r="R20" s="17"/>
      <c r="S20" s="17">
        <v>0</v>
      </c>
      <c r="T20" s="17"/>
      <c r="U20" s="17">
        <v>315371</v>
      </c>
      <c r="V20" s="17"/>
      <c r="W20" s="28">
        <f t="shared" si="0"/>
        <v>43011353</v>
      </c>
      <c r="X20" s="17"/>
      <c r="Y20" s="17">
        <v>1556192</v>
      </c>
      <c r="Z20" s="17"/>
      <c r="AA20" s="17">
        <v>0</v>
      </c>
      <c r="AB20" s="17"/>
      <c r="AC20" s="17">
        <v>0</v>
      </c>
      <c r="AD20" s="17"/>
      <c r="AE20" s="17">
        <v>0</v>
      </c>
      <c r="AF20" s="3" t="s">
        <v>287</v>
      </c>
      <c r="AH20" s="16" t="s">
        <v>150</v>
      </c>
      <c r="AI20" s="17"/>
      <c r="AJ20" s="17">
        <v>0</v>
      </c>
      <c r="AK20" s="17"/>
      <c r="AL20" s="17">
        <v>0</v>
      </c>
      <c r="AM20" s="17"/>
      <c r="AN20" s="17">
        <v>0</v>
      </c>
      <c r="AO20" s="17"/>
      <c r="AP20" s="17">
        <v>0</v>
      </c>
      <c r="AQ20" s="17"/>
      <c r="AR20" s="17">
        <v>0</v>
      </c>
      <c r="AS20" s="17"/>
      <c r="AT20" s="28">
        <f t="shared" si="1"/>
        <v>1556192</v>
      </c>
      <c r="AU20" s="17"/>
      <c r="AV20" s="28">
        <f t="shared" si="2"/>
        <v>44567545</v>
      </c>
      <c r="AY20" s="3"/>
      <c r="AZ20" s="3" t="str">
        <f t="shared" si="3"/>
        <v>Butler Technology and Career Development</v>
      </c>
      <c r="BA20" s="3" t="b">
        <f t="shared" si="4"/>
        <v>1</v>
      </c>
      <c r="BB20" s="20" t="str">
        <f>GovBS!A20</f>
        <v>Butler Technology and Career Development</v>
      </c>
      <c r="BC20" s="20" t="b">
        <f t="shared" si="5"/>
        <v>1</v>
      </c>
      <c r="BE20" s="20" t="str">
        <f t="shared" si="6"/>
        <v>Butler</v>
      </c>
      <c r="BF20" s="20" t="b">
        <f t="shared" si="7"/>
        <v>1</v>
      </c>
      <c r="BH20" s="20" t="b">
        <f>C20=GovBS!C20</f>
        <v>1</v>
      </c>
    </row>
    <row r="21" spans="1:60" s="16" customFormat="1">
      <c r="A21" s="3" t="s">
        <v>291</v>
      </c>
      <c r="C21" s="16" t="s">
        <v>176</v>
      </c>
      <c r="E21" s="16">
        <v>51201</v>
      </c>
      <c r="G21" s="17">
        <v>8239513</v>
      </c>
      <c r="H21" s="17"/>
      <c r="I21" s="17">
        <v>7282170</v>
      </c>
      <c r="J21" s="17"/>
      <c r="K21" s="17">
        <v>11784</v>
      </c>
      <c r="L21" s="17"/>
      <c r="M21" s="17">
        <v>2171320</v>
      </c>
      <c r="N21" s="17"/>
      <c r="O21" s="17">
        <v>23711</v>
      </c>
      <c r="P21" s="17"/>
      <c r="Q21" s="17">
        <v>0</v>
      </c>
      <c r="R21" s="17"/>
      <c r="S21" s="17">
        <v>58240</v>
      </c>
      <c r="T21" s="17"/>
      <c r="U21" s="17">
        <f>80368+191545</f>
        <v>271913</v>
      </c>
      <c r="V21" s="17"/>
      <c r="W21" s="28">
        <f t="shared" si="0"/>
        <v>18058651</v>
      </c>
      <c r="X21" s="17"/>
      <c r="Y21" s="17">
        <v>11843</v>
      </c>
      <c r="Z21" s="17"/>
      <c r="AA21" s="17">
        <v>0</v>
      </c>
      <c r="AB21" s="17"/>
      <c r="AC21" s="17">
        <v>0</v>
      </c>
      <c r="AD21" s="17"/>
      <c r="AE21" s="17">
        <v>0</v>
      </c>
      <c r="AF21" s="3" t="s">
        <v>291</v>
      </c>
      <c r="AH21" s="16" t="s">
        <v>176</v>
      </c>
      <c r="AI21" s="17"/>
      <c r="AJ21" s="17">
        <v>0</v>
      </c>
      <c r="AK21" s="17"/>
      <c r="AL21" s="17">
        <v>9775</v>
      </c>
      <c r="AM21" s="17"/>
      <c r="AN21" s="17">
        <v>0</v>
      </c>
      <c r="AO21" s="17"/>
      <c r="AP21" s="17">
        <v>0</v>
      </c>
      <c r="AQ21" s="17"/>
      <c r="AR21" s="17">
        <v>0</v>
      </c>
      <c r="AS21" s="17"/>
      <c r="AT21" s="28">
        <f t="shared" si="1"/>
        <v>21618</v>
      </c>
      <c r="AU21" s="17"/>
      <c r="AV21" s="28">
        <f t="shared" si="2"/>
        <v>18080269</v>
      </c>
      <c r="AY21" s="3"/>
      <c r="AZ21" s="3" t="str">
        <f t="shared" si="3"/>
        <v>Career and Technology Education Centers of Licking County</v>
      </c>
      <c r="BA21" s="3" t="b">
        <f t="shared" si="4"/>
        <v>1</v>
      </c>
      <c r="BB21" s="20" t="str">
        <f>GovBS!A21</f>
        <v>Career and Technology Education Centers of Licking County</v>
      </c>
      <c r="BC21" s="20" t="b">
        <f>AZ21=BB21</f>
        <v>1</v>
      </c>
      <c r="BE21" s="20" t="str">
        <f t="shared" si="6"/>
        <v>Licking</v>
      </c>
      <c r="BF21" s="20" t="b">
        <f t="shared" si="7"/>
        <v>1</v>
      </c>
      <c r="BH21" s="20" t="b">
        <f>C21=GovBS!C21</f>
        <v>1</v>
      </c>
    </row>
    <row r="22" spans="1:60" s="66" customFormat="1" hidden="1">
      <c r="A22" s="65" t="s">
        <v>289</v>
      </c>
      <c r="C22" s="66" t="s">
        <v>220</v>
      </c>
      <c r="E22" s="66">
        <v>63511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9">
        <f t="shared" si="0"/>
        <v>0</v>
      </c>
      <c r="X22" s="67"/>
      <c r="Y22" s="67"/>
      <c r="Z22" s="67"/>
      <c r="AA22" s="67"/>
      <c r="AB22" s="67"/>
      <c r="AC22" s="67"/>
      <c r="AD22" s="67"/>
      <c r="AE22" s="67"/>
      <c r="AF22" s="65" t="s">
        <v>289</v>
      </c>
      <c r="AH22" s="66" t="s">
        <v>220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5"/>
      <c r="AS22" s="67"/>
      <c r="AT22" s="69">
        <f t="shared" si="1"/>
        <v>0</v>
      </c>
      <c r="AU22" s="67"/>
      <c r="AV22" s="69">
        <f t="shared" si="2"/>
        <v>0</v>
      </c>
      <c r="AY22" s="66" t="s">
        <v>304</v>
      </c>
      <c r="AZ22" s="65" t="str">
        <f t="shared" si="3"/>
        <v>Central Ohio JVSD- now Tolles Career &amp; Technical Center since 2005</v>
      </c>
      <c r="BA22" s="65" t="b">
        <f t="shared" si="4"/>
        <v>1</v>
      </c>
      <c r="BB22" s="68" t="str">
        <f>GovBS!A22</f>
        <v>Central Ohio JVSD- now Tolles Career &amp; Technical Center since 2005</v>
      </c>
      <c r="BC22" s="68" t="b">
        <f t="shared" si="5"/>
        <v>1</v>
      </c>
      <c r="BE22" s="68" t="str">
        <f t="shared" si="6"/>
        <v>Madison</v>
      </c>
      <c r="BF22" s="68" t="b">
        <f t="shared" si="7"/>
        <v>1</v>
      </c>
      <c r="BH22" s="68" t="b">
        <f>C22=GovBS!C22</f>
        <v>1</v>
      </c>
    </row>
    <row r="23" spans="1:60" s="16" customFormat="1">
      <c r="A23" s="3" t="s">
        <v>288</v>
      </c>
      <c r="C23" s="16" t="s">
        <v>159</v>
      </c>
      <c r="E23" s="16">
        <v>50906</v>
      </c>
      <c r="G23" s="17">
        <v>1796636</v>
      </c>
      <c r="H23" s="17"/>
      <c r="I23" s="17">
        <f>4160026+542999</f>
        <v>4703025</v>
      </c>
      <c r="J23" s="17"/>
      <c r="K23" s="17">
        <v>48152</v>
      </c>
      <c r="L23" s="17"/>
      <c r="M23" s="17">
        <f>1053241+55114</f>
        <v>1108355</v>
      </c>
      <c r="N23" s="17"/>
      <c r="O23" s="17">
        <v>1462</v>
      </c>
      <c r="P23" s="17"/>
      <c r="Q23" s="17">
        <v>0</v>
      </c>
      <c r="R23" s="17"/>
      <c r="S23" s="17">
        <v>0</v>
      </c>
      <c r="T23" s="17"/>
      <c r="U23" s="17">
        <f>61845+600+66304+200337</f>
        <v>329086</v>
      </c>
      <c r="V23" s="17"/>
      <c r="W23" s="28">
        <f t="shared" si="0"/>
        <v>7986716</v>
      </c>
      <c r="X23" s="17"/>
      <c r="Y23" s="17">
        <v>500000</v>
      </c>
      <c r="Z23" s="17"/>
      <c r="AA23" s="17">
        <v>0</v>
      </c>
      <c r="AB23" s="17"/>
      <c r="AC23" s="17">
        <v>0</v>
      </c>
      <c r="AD23" s="17"/>
      <c r="AE23" s="17">
        <v>0</v>
      </c>
      <c r="AF23" s="3" t="s">
        <v>288</v>
      </c>
      <c r="AH23" s="16" t="s">
        <v>159</v>
      </c>
      <c r="AI23" s="17"/>
      <c r="AJ23" s="17">
        <v>0</v>
      </c>
      <c r="AK23" s="17"/>
      <c r="AL23" s="17">
        <v>0</v>
      </c>
      <c r="AM23" s="17"/>
      <c r="AN23" s="17">
        <v>0</v>
      </c>
      <c r="AO23" s="17"/>
      <c r="AP23" s="17">
        <v>0</v>
      </c>
      <c r="AQ23" s="17"/>
      <c r="AR23" s="17">
        <v>0</v>
      </c>
      <c r="AS23" s="17"/>
      <c r="AT23" s="28">
        <f t="shared" si="1"/>
        <v>500000</v>
      </c>
      <c r="AU23" s="17"/>
      <c r="AV23" s="28">
        <f t="shared" si="2"/>
        <v>8486716</v>
      </c>
      <c r="AY23" s="3"/>
      <c r="AZ23" s="3" t="str">
        <f t="shared" si="3"/>
        <v>Columbiana County Career &amp; Technical Center</v>
      </c>
      <c r="BA23" s="3" t="b">
        <f t="shared" si="4"/>
        <v>1</v>
      </c>
      <c r="BB23" s="20" t="str">
        <f>GovBS!A23</f>
        <v>Columbiana County Career &amp; Technical Center</v>
      </c>
      <c r="BC23" s="20" t="b">
        <f t="shared" si="5"/>
        <v>1</v>
      </c>
      <c r="BE23" s="20" t="str">
        <f t="shared" si="6"/>
        <v>Columbiana</v>
      </c>
      <c r="BF23" s="20" t="b">
        <f t="shared" si="7"/>
        <v>1</v>
      </c>
      <c r="BH23" s="20" t="b">
        <f>C23=GovBS!C23</f>
        <v>1</v>
      </c>
    </row>
    <row r="24" spans="1:60" s="16" customFormat="1">
      <c r="A24" s="3" t="s">
        <v>253</v>
      </c>
      <c r="C24" s="16" t="s">
        <v>213</v>
      </c>
      <c r="E24" s="16">
        <v>65227</v>
      </c>
      <c r="G24" s="17">
        <v>1289320</v>
      </c>
      <c r="H24" s="17"/>
      <c r="I24" s="17">
        <v>2617077</v>
      </c>
      <c r="J24" s="17"/>
      <c r="K24" s="17">
        <v>3446</v>
      </c>
      <c r="L24" s="17"/>
      <c r="M24" s="17">
        <v>7427</v>
      </c>
      <c r="N24" s="17"/>
      <c r="O24" s="17">
        <v>0</v>
      </c>
      <c r="P24" s="17"/>
      <c r="Q24" s="17">
        <v>0</v>
      </c>
      <c r="R24" s="17"/>
      <c r="S24" s="17">
        <v>2750</v>
      </c>
      <c r="T24" s="17"/>
      <c r="U24" s="17">
        <f>9375+50956+8188</f>
        <v>68519</v>
      </c>
      <c r="V24" s="17"/>
      <c r="W24" s="28">
        <f t="shared" si="0"/>
        <v>3988539</v>
      </c>
      <c r="X24" s="17"/>
      <c r="Y24" s="17">
        <v>0</v>
      </c>
      <c r="Z24" s="17"/>
      <c r="AA24" s="17">
        <v>247672</v>
      </c>
      <c r="AB24" s="17"/>
      <c r="AC24" s="17">
        <v>0</v>
      </c>
      <c r="AD24" s="17"/>
      <c r="AE24" s="17">
        <v>0</v>
      </c>
      <c r="AF24" s="3" t="s">
        <v>253</v>
      </c>
      <c r="AH24" s="16" t="s">
        <v>213</v>
      </c>
      <c r="AI24" s="17"/>
      <c r="AJ24" s="17">
        <v>0</v>
      </c>
      <c r="AK24" s="17"/>
      <c r="AL24" s="17">
        <v>0</v>
      </c>
      <c r="AM24" s="17"/>
      <c r="AN24" s="17">
        <v>0</v>
      </c>
      <c r="AO24" s="17"/>
      <c r="AP24" s="17">
        <v>0</v>
      </c>
      <c r="AQ24" s="17"/>
      <c r="AR24" s="17">
        <v>0</v>
      </c>
      <c r="AS24" s="17"/>
      <c r="AT24" s="28">
        <f t="shared" si="1"/>
        <v>247672</v>
      </c>
      <c r="AU24" s="17"/>
      <c r="AV24" s="28">
        <f t="shared" si="2"/>
        <v>4236211</v>
      </c>
      <c r="AY24" s="3"/>
      <c r="AZ24" s="3" t="str">
        <f t="shared" si="3"/>
        <v>Coshocton County Career Center</v>
      </c>
      <c r="BA24" s="3" t="b">
        <f t="shared" si="4"/>
        <v>1</v>
      </c>
      <c r="BB24" s="20" t="str">
        <f>GovBS!A24</f>
        <v>Coshocton County Career Center</v>
      </c>
      <c r="BC24" s="20" t="b">
        <f t="shared" si="5"/>
        <v>1</v>
      </c>
      <c r="BE24" s="20" t="str">
        <f t="shared" si="6"/>
        <v>Coshocton</v>
      </c>
      <c r="BF24" s="20" t="b">
        <f t="shared" si="7"/>
        <v>1</v>
      </c>
      <c r="BH24" s="20" t="b">
        <f>C24=GovBS!C24</f>
        <v>1</v>
      </c>
    </row>
    <row r="25" spans="1:60" s="16" customFormat="1">
      <c r="A25" s="3" t="s">
        <v>251</v>
      </c>
      <c r="C25" s="16" t="s">
        <v>160</v>
      </c>
      <c r="E25" s="16">
        <v>50922</v>
      </c>
      <c r="G25" s="17">
        <v>11084417</v>
      </c>
      <c r="H25" s="17"/>
      <c r="I25" s="17">
        <f>4518613+432863</f>
        <v>4951476</v>
      </c>
      <c r="J25" s="17"/>
      <c r="K25" s="17">
        <v>46802</v>
      </c>
      <c r="L25" s="17"/>
      <c r="M25" s="17">
        <f>1375642+190010</f>
        <v>1565652</v>
      </c>
      <c r="N25" s="17"/>
      <c r="O25" s="17">
        <v>0</v>
      </c>
      <c r="P25" s="17"/>
      <c r="Q25" s="17">
        <v>6</v>
      </c>
      <c r="R25" s="17"/>
      <c r="S25" s="17">
        <v>9244</v>
      </c>
      <c r="T25" s="17"/>
      <c r="U25" s="17">
        <f>292336+39238+67804+92500</f>
        <v>491878</v>
      </c>
      <c r="V25" s="17"/>
      <c r="W25" s="28">
        <f t="shared" si="0"/>
        <v>18149475</v>
      </c>
      <c r="X25" s="17"/>
      <c r="Y25" s="17">
        <v>350000</v>
      </c>
      <c r="Z25" s="17"/>
      <c r="AA25" s="17">
        <v>0</v>
      </c>
      <c r="AB25" s="17"/>
      <c r="AC25" s="17">
        <v>0</v>
      </c>
      <c r="AD25" s="17"/>
      <c r="AE25" s="17">
        <v>0</v>
      </c>
      <c r="AF25" s="3" t="s">
        <v>251</v>
      </c>
      <c r="AH25" s="16" t="s">
        <v>160</v>
      </c>
      <c r="AI25" s="17"/>
      <c r="AJ25" s="17">
        <v>288951</v>
      </c>
      <c r="AK25" s="17"/>
      <c r="AL25" s="17">
        <v>0</v>
      </c>
      <c r="AM25" s="17"/>
      <c r="AN25" s="17">
        <v>0</v>
      </c>
      <c r="AO25" s="17"/>
      <c r="AP25" s="17">
        <v>0</v>
      </c>
      <c r="AQ25" s="17"/>
      <c r="AR25" s="3">
        <v>0</v>
      </c>
      <c r="AS25" s="17"/>
      <c r="AT25" s="28">
        <f t="shared" si="1"/>
        <v>638951</v>
      </c>
      <c r="AU25" s="17"/>
      <c r="AV25" s="28">
        <f t="shared" si="2"/>
        <v>18788426</v>
      </c>
      <c r="AY25" s="3"/>
      <c r="AZ25" s="3" t="str">
        <f t="shared" si="3"/>
        <v>Cuyahoga Valley Career Center</v>
      </c>
      <c r="BA25" s="3" t="b">
        <f t="shared" si="4"/>
        <v>1</v>
      </c>
      <c r="BB25" s="20" t="str">
        <f>GovBS!A25</f>
        <v>Cuyahoga Valley Career Center</v>
      </c>
      <c r="BC25" s="20" t="b">
        <f t="shared" si="5"/>
        <v>1</v>
      </c>
      <c r="BE25" s="20" t="str">
        <f t="shared" si="6"/>
        <v>Cuyahoga</v>
      </c>
      <c r="BF25" s="20" t="b">
        <f t="shared" si="7"/>
        <v>1</v>
      </c>
      <c r="BH25" s="20" t="b">
        <f>C25=GovBS!C25</f>
        <v>1</v>
      </c>
    </row>
    <row r="26" spans="1:60" s="16" customFormat="1">
      <c r="A26" s="3" t="s">
        <v>250</v>
      </c>
      <c r="C26" s="16" t="s">
        <v>162</v>
      </c>
      <c r="E26" s="16">
        <v>50989</v>
      </c>
      <c r="G26" s="17">
        <v>10826710</v>
      </c>
      <c r="H26" s="17"/>
      <c r="I26" s="17">
        <f>5107580+524142</f>
        <v>5631722</v>
      </c>
      <c r="J26" s="17"/>
      <c r="K26" s="17">
        <v>272346</v>
      </c>
      <c r="L26" s="17"/>
      <c r="M26" s="17">
        <f>1917676+137196</f>
        <v>2054872</v>
      </c>
      <c r="N26" s="17"/>
      <c r="O26" s="17">
        <v>5716</v>
      </c>
      <c r="P26" s="17"/>
      <c r="Q26" s="17">
        <v>8009</v>
      </c>
      <c r="R26" s="17"/>
      <c r="S26" s="17">
        <v>127639</v>
      </c>
      <c r="T26" s="17"/>
      <c r="U26" s="17">
        <f>74289+18178+237834+105879</f>
        <v>436180</v>
      </c>
      <c r="V26" s="17"/>
      <c r="W26" s="28">
        <f t="shared" si="0"/>
        <v>19363194</v>
      </c>
      <c r="X26" s="17"/>
      <c r="Y26" s="17">
        <v>757330</v>
      </c>
      <c r="Z26" s="17"/>
      <c r="AA26" s="17">
        <v>0</v>
      </c>
      <c r="AB26" s="17"/>
      <c r="AC26" s="17">
        <v>0</v>
      </c>
      <c r="AD26" s="17"/>
      <c r="AE26" s="17">
        <v>0</v>
      </c>
      <c r="AF26" s="3" t="s">
        <v>250</v>
      </c>
      <c r="AH26" s="16" t="s">
        <v>162</v>
      </c>
      <c r="AI26" s="17"/>
      <c r="AJ26" s="17">
        <v>0</v>
      </c>
      <c r="AK26" s="17"/>
      <c r="AL26" s="17">
        <v>0</v>
      </c>
      <c r="AM26" s="17"/>
      <c r="AN26" s="17">
        <v>0</v>
      </c>
      <c r="AO26" s="17"/>
      <c r="AP26" s="17">
        <v>0</v>
      </c>
      <c r="AQ26" s="17"/>
      <c r="AR26" s="17">
        <v>839446</v>
      </c>
      <c r="AS26" s="17"/>
      <c r="AT26" s="28">
        <f t="shared" si="1"/>
        <v>1596776</v>
      </c>
      <c r="AU26" s="17"/>
      <c r="AV26" s="28">
        <f t="shared" si="2"/>
        <v>20959970</v>
      </c>
      <c r="AY26" s="3"/>
      <c r="AZ26" s="3" t="str">
        <f t="shared" si="3"/>
        <v>Delaware Area Career Center</v>
      </c>
      <c r="BA26" s="3" t="b">
        <f t="shared" si="4"/>
        <v>1</v>
      </c>
      <c r="BB26" s="20" t="str">
        <f>GovBS!A26</f>
        <v>Delaware Area Career Center</v>
      </c>
      <c r="BC26" s="20" t="b">
        <f t="shared" si="5"/>
        <v>1</v>
      </c>
      <c r="BE26" s="20" t="str">
        <f t="shared" si="6"/>
        <v>Delaware</v>
      </c>
      <c r="BF26" s="20" t="b">
        <f t="shared" si="7"/>
        <v>1</v>
      </c>
      <c r="BH26" s="20" t="b">
        <f>C26=GovBS!C26</f>
        <v>1</v>
      </c>
    </row>
    <row r="27" spans="1:60" s="16" customFormat="1">
      <c r="A27" s="3" t="s">
        <v>307</v>
      </c>
      <c r="C27" s="16" t="s">
        <v>165</v>
      </c>
      <c r="E27" s="16">
        <v>51003</v>
      </c>
      <c r="G27" s="17">
        <v>13469011</v>
      </c>
      <c r="H27" s="17"/>
      <c r="I27" s="17">
        <v>7962499</v>
      </c>
      <c r="J27" s="17"/>
      <c r="K27" s="17">
        <v>71314</v>
      </c>
      <c r="L27" s="17"/>
      <c r="M27" s="17">
        <v>469686</v>
      </c>
      <c r="N27" s="17"/>
      <c r="O27" s="17">
        <v>2100</v>
      </c>
      <c r="P27" s="17"/>
      <c r="Q27" s="17">
        <v>0</v>
      </c>
      <c r="R27" s="17"/>
      <c r="S27" s="17">
        <v>15073</v>
      </c>
      <c r="T27" s="17"/>
      <c r="U27" s="17">
        <f>364792+13004+65532</f>
        <v>443328</v>
      </c>
      <c r="V27" s="17"/>
      <c r="W27" s="28">
        <f t="shared" si="0"/>
        <v>22433011</v>
      </c>
      <c r="X27" s="17"/>
      <c r="Y27" s="17">
        <v>214363</v>
      </c>
      <c r="Z27" s="17"/>
      <c r="AA27" s="17">
        <v>0</v>
      </c>
      <c r="AB27" s="17"/>
      <c r="AC27" s="17">
        <v>0</v>
      </c>
      <c r="AD27" s="17"/>
      <c r="AE27" s="17">
        <v>0</v>
      </c>
      <c r="AF27" s="3" t="s">
        <v>307</v>
      </c>
      <c r="AH27" s="16" t="s">
        <v>165</v>
      </c>
      <c r="AI27" s="17"/>
      <c r="AJ27" s="17">
        <v>0</v>
      </c>
      <c r="AK27" s="17"/>
      <c r="AL27" s="17">
        <v>1780</v>
      </c>
      <c r="AM27" s="17"/>
      <c r="AN27" s="17">
        <v>0</v>
      </c>
      <c r="AO27" s="17"/>
      <c r="AP27" s="17">
        <v>0</v>
      </c>
      <c r="AQ27" s="17"/>
      <c r="AR27" s="17">
        <v>0</v>
      </c>
      <c r="AS27" s="17"/>
      <c r="AT27" s="28">
        <f t="shared" si="1"/>
        <v>216143</v>
      </c>
      <c r="AU27" s="17"/>
      <c r="AV27" s="28">
        <f t="shared" si="2"/>
        <v>22649154</v>
      </c>
      <c r="AY27" s="3"/>
      <c r="AZ27" s="3" t="str">
        <f t="shared" si="3"/>
        <v>Eastland-Fairfield Career and Tech Center</v>
      </c>
      <c r="BA27" s="3" t="b">
        <f t="shared" si="4"/>
        <v>1</v>
      </c>
      <c r="BB27" s="20" t="str">
        <f>GovBS!A27</f>
        <v>Eastland-Fairfield Career and Tech Center</v>
      </c>
      <c r="BC27" s="20" t="b">
        <f t="shared" si="5"/>
        <v>1</v>
      </c>
      <c r="BE27" s="20" t="str">
        <f t="shared" si="6"/>
        <v>Franklin</v>
      </c>
      <c r="BF27" s="20" t="b">
        <f t="shared" si="7"/>
        <v>1</v>
      </c>
      <c r="BH27" s="20" t="b">
        <f>C27=GovBS!C27</f>
        <v>1</v>
      </c>
    </row>
    <row r="28" spans="1:60" s="16" customFormat="1">
      <c r="A28" s="3" t="s">
        <v>252</v>
      </c>
      <c r="C28" s="16" t="s">
        <v>163</v>
      </c>
      <c r="E28" s="16">
        <v>51029</v>
      </c>
      <c r="G28" s="17">
        <v>5825497</v>
      </c>
      <c r="H28" s="17"/>
      <c r="I28" s="17">
        <v>9064455</v>
      </c>
      <c r="J28" s="17"/>
      <c r="K28" s="17">
        <v>24596</v>
      </c>
      <c r="L28" s="17"/>
      <c r="M28" s="17">
        <f>2160055+92514</f>
        <v>2252569</v>
      </c>
      <c r="N28" s="17"/>
      <c r="O28" s="17">
        <v>12098</v>
      </c>
      <c r="P28" s="17"/>
      <c r="Q28" s="17">
        <v>0</v>
      </c>
      <c r="R28" s="17"/>
      <c r="S28" s="17">
        <v>0</v>
      </c>
      <c r="T28" s="17"/>
      <c r="U28" s="17">
        <f>212402+321179</f>
        <v>533581</v>
      </c>
      <c r="V28" s="17"/>
      <c r="W28" s="28">
        <f t="shared" si="0"/>
        <v>17712796</v>
      </c>
      <c r="X28" s="17"/>
      <c r="Y28" s="17">
        <v>50000</v>
      </c>
      <c r="Z28" s="17"/>
      <c r="AA28" s="17">
        <v>0</v>
      </c>
      <c r="AB28" s="17"/>
      <c r="AC28" s="17">
        <v>0</v>
      </c>
      <c r="AD28" s="17"/>
      <c r="AE28" s="17">
        <v>0</v>
      </c>
      <c r="AF28" s="3" t="s">
        <v>252</v>
      </c>
      <c r="AH28" s="16" t="s">
        <v>163</v>
      </c>
      <c r="AI28" s="17"/>
      <c r="AJ28" s="17">
        <v>0</v>
      </c>
      <c r="AK28" s="17"/>
      <c r="AL28" s="17">
        <v>0</v>
      </c>
      <c r="AM28" s="17"/>
      <c r="AN28" s="17">
        <v>0</v>
      </c>
      <c r="AO28" s="17"/>
      <c r="AP28" s="17">
        <v>0</v>
      </c>
      <c r="AQ28" s="17"/>
      <c r="AR28" s="17">
        <v>0</v>
      </c>
      <c r="AS28" s="17"/>
      <c r="AT28" s="28">
        <f t="shared" si="1"/>
        <v>50000</v>
      </c>
      <c r="AU28" s="17"/>
      <c r="AV28" s="28">
        <f t="shared" si="2"/>
        <v>17762796</v>
      </c>
      <c r="AY28" s="3" t="s">
        <v>383</v>
      </c>
      <c r="AZ28" s="3" t="str">
        <f t="shared" si="3"/>
        <v>Ehove Career Center</v>
      </c>
      <c r="BA28" s="3" t="b">
        <f t="shared" si="4"/>
        <v>1</v>
      </c>
      <c r="BB28" s="20" t="str">
        <f>GovBS!A28</f>
        <v>Ehove Career Center</v>
      </c>
      <c r="BC28" s="20" t="b">
        <f t="shared" si="5"/>
        <v>1</v>
      </c>
      <c r="BE28" s="20" t="str">
        <f t="shared" si="6"/>
        <v>Erie</v>
      </c>
      <c r="BF28" s="20" t="b">
        <f t="shared" si="7"/>
        <v>1</v>
      </c>
      <c r="BH28" s="20" t="b">
        <f>C28=GovBS!C28</f>
        <v>1</v>
      </c>
    </row>
    <row r="29" spans="1:60" s="16" customFormat="1">
      <c r="A29" s="3" t="s">
        <v>254</v>
      </c>
      <c r="C29" s="16" t="s">
        <v>215</v>
      </c>
      <c r="E29" s="16">
        <v>50963</v>
      </c>
      <c r="G29" s="17">
        <v>5323899</v>
      </c>
      <c r="H29" s="17"/>
      <c r="I29" s="17">
        <v>10117900</v>
      </c>
      <c r="J29" s="17"/>
      <c r="K29" s="17">
        <v>86464</v>
      </c>
      <c r="L29" s="17"/>
      <c r="M29" s="17">
        <v>1010282</v>
      </c>
      <c r="N29" s="17"/>
      <c r="O29" s="17">
        <v>0</v>
      </c>
      <c r="P29" s="17"/>
      <c r="Q29" s="17">
        <v>0</v>
      </c>
      <c r="R29" s="17"/>
      <c r="S29" s="17">
        <v>114687</v>
      </c>
      <c r="T29" s="17"/>
      <c r="U29" s="17">
        <f>2496+382371+9216-8678</f>
        <v>385405</v>
      </c>
      <c r="V29" s="17"/>
      <c r="W29" s="28">
        <f t="shared" si="0"/>
        <v>17038637</v>
      </c>
      <c r="X29" s="17"/>
      <c r="Y29" s="17">
        <v>385485</v>
      </c>
      <c r="Z29" s="17"/>
      <c r="AA29" s="17">
        <v>0</v>
      </c>
      <c r="AB29" s="17"/>
      <c r="AC29" s="17">
        <v>0</v>
      </c>
      <c r="AD29" s="17"/>
      <c r="AE29" s="17">
        <v>0</v>
      </c>
      <c r="AF29" s="3" t="s">
        <v>254</v>
      </c>
      <c r="AH29" s="16" t="s">
        <v>215</v>
      </c>
      <c r="AI29" s="17"/>
      <c r="AJ29" s="17">
        <v>0</v>
      </c>
      <c r="AK29" s="17"/>
      <c r="AL29" s="17">
        <v>7265</v>
      </c>
      <c r="AM29" s="17"/>
      <c r="AN29" s="17">
        <v>0</v>
      </c>
      <c r="AO29" s="17"/>
      <c r="AP29" s="17">
        <v>0</v>
      </c>
      <c r="AQ29" s="17"/>
      <c r="AR29" s="3">
        <v>0</v>
      </c>
      <c r="AS29" s="17"/>
      <c r="AT29" s="28">
        <f t="shared" si="1"/>
        <v>392750</v>
      </c>
      <c r="AU29" s="17"/>
      <c r="AV29" s="28">
        <f t="shared" si="2"/>
        <v>17431387</v>
      </c>
      <c r="AY29" s="3"/>
      <c r="AZ29" s="3" t="str">
        <f t="shared" si="3"/>
        <v>Four County Career Center</v>
      </c>
      <c r="BA29" s="3" t="b">
        <f t="shared" si="4"/>
        <v>1</v>
      </c>
      <c r="BB29" s="20" t="str">
        <f>GovBS!A29</f>
        <v>Four County Career Center</v>
      </c>
      <c r="BC29" s="20" t="b">
        <f t="shared" si="5"/>
        <v>1</v>
      </c>
      <c r="BE29" s="20" t="str">
        <f t="shared" si="6"/>
        <v>Henry</v>
      </c>
      <c r="BF29" s="20" t="b">
        <f t="shared" si="7"/>
        <v>1</v>
      </c>
      <c r="BH29" s="20" t="b">
        <f>C29=GovBS!C29</f>
        <v>1</v>
      </c>
    </row>
    <row r="30" spans="1:60" s="16" customFormat="1">
      <c r="A30" s="3" t="s">
        <v>214</v>
      </c>
      <c r="C30" s="16" t="s">
        <v>168</v>
      </c>
      <c r="E30" s="16">
        <v>62067</v>
      </c>
      <c r="G30" s="17">
        <v>2370635</v>
      </c>
      <c r="H30" s="17"/>
      <c r="I30" s="17">
        <v>7521604</v>
      </c>
      <c r="J30" s="17"/>
      <c r="K30" s="17">
        <v>211874</v>
      </c>
      <c r="L30" s="17"/>
      <c r="M30" s="17">
        <v>23091</v>
      </c>
      <c r="N30" s="17"/>
      <c r="O30" s="17">
        <v>740</v>
      </c>
      <c r="P30" s="17"/>
      <c r="Q30" s="17">
        <v>0</v>
      </c>
      <c r="R30" s="17"/>
      <c r="S30" s="17">
        <v>58000</v>
      </c>
      <c r="T30" s="17"/>
      <c r="U30" s="17">
        <f>333774+348+17850</f>
        <v>351972</v>
      </c>
      <c r="V30" s="17"/>
      <c r="W30" s="28">
        <f t="shared" si="0"/>
        <v>10537916</v>
      </c>
      <c r="X30" s="17"/>
      <c r="Y30" s="17">
        <v>183691</v>
      </c>
      <c r="Z30" s="17"/>
      <c r="AA30" s="17">
        <v>0</v>
      </c>
      <c r="AB30" s="17"/>
      <c r="AC30" s="17">
        <v>0</v>
      </c>
      <c r="AD30" s="17"/>
      <c r="AE30" s="17">
        <v>0</v>
      </c>
      <c r="AF30" s="3" t="s">
        <v>214</v>
      </c>
      <c r="AH30" s="16" t="s">
        <v>168</v>
      </c>
      <c r="AI30" s="17"/>
      <c r="AJ30" s="17">
        <v>0</v>
      </c>
      <c r="AK30" s="17"/>
      <c r="AL30" s="17">
        <v>3753</v>
      </c>
      <c r="AM30" s="17"/>
      <c r="AN30" s="17">
        <v>0</v>
      </c>
      <c r="AO30" s="17"/>
      <c r="AP30" s="17">
        <v>0</v>
      </c>
      <c r="AQ30" s="17"/>
      <c r="AR30" s="17">
        <v>9372</v>
      </c>
      <c r="AS30" s="17"/>
      <c r="AT30" s="28">
        <f t="shared" si="1"/>
        <v>196816</v>
      </c>
      <c r="AU30" s="17"/>
      <c r="AV30" s="28">
        <f t="shared" si="2"/>
        <v>10734732</v>
      </c>
      <c r="AY30" s="3"/>
      <c r="AZ30" s="3" t="str">
        <f t="shared" si="3"/>
        <v>Gallia-Jackson-Vinton JVSD</v>
      </c>
      <c r="BA30" s="3" t="b">
        <f t="shared" si="4"/>
        <v>1</v>
      </c>
      <c r="BB30" s="20" t="str">
        <f>GovBS!A30</f>
        <v>Gallia-Jackson-Vinton JVSD</v>
      </c>
      <c r="BC30" s="20" t="b">
        <f t="shared" si="5"/>
        <v>1</v>
      </c>
      <c r="BE30" s="20" t="str">
        <f t="shared" si="6"/>
        <v>Gallia</v>
      </c>
      <c r="BF30" s="20" t="b">
        <f t="shared" si="7"/>
        <v>1</v>
      </c>
      <c r="BH30" s="20" t="b">
        <f>C30=GovBS!C30</f>
        <v>1</v>
      </c>
    </row>
    <row r="31" spans="1:60" s="16" customFormat="1">
      <c r="A31" s="3" t="s">
        <v>327</v>
      </c>
      <c r="C31" s="16" t="s">
        <v>171</v>
      </c>
      <c r="E31" s="16">
        <v>51060</v>
      </c>
      <c r="G31" s="17">
        <v>36560049</v>
      </c>
      <c r="H31" s="17"/>
      <c r="I31" s="17">
        <v>27676553</v>
      </c>
      <c r="J31" s="17"/>
      <c r="K31" s="17">
        <v>290910</v>
      </c>
      <c r="L31" s="17"/>
      <c r="M31" s="17">
        <f>4319588+484433</f>
        <v>4804021</v>
      </c>
      <c r="N31" s="17"/>
      <c r="O31" s="17">
        <v>76190</v>
      </c>
      <c r="P31" s="17"/>
      <c r="Q31" s="17">
        <v>0</v>
      </c>
      <c r="R31" s="17"/>
      <c r="S31" s="17">
        <v>0</v>
      </c>
      <c r="T31" s="17"/>
      <c r="U31" s="17">
        <v>771952</v>
      </c>
      <c r="V31" s="17"/>
      <c r="W31" s="28">
        <f t="shared" si="0"/>
        <v>70179675</v>
      </c>
      <c r="X31" s="17"/>
      <c r="Y31" s="17">
        <v>5264900</v>
      </c>
      <c r="Z31" s="17"/>
      <c r="AA31" s="17">
        <v>0</v>
      </c>
      <c r="AB31" s="17"/>
      <c r="AC31" s="17">
        <v>0</v>
      </c>
      <c r="AD31" s="17"/>
      <c r="AE31" s="17">
        <v>0</v>
      </c>
      <c r="AF31" s="3" t="s">
        <v>327</v>
      </c>
      <c r="AH31" s="16" t="s">
        <v>171</v>
      </c>
      <c r="AI31" s="17"/>
      <c r="AJ31" s="17">
        <v>0</v>
      </c>
      <c r="AK31" s="17"/>
      <c r="AL31" s="17">
        <v>0</v>
      </c>
      <c r="AM31" s="17"/>
      <c r="AN31" s="17">
        <v>0</v>
      </c>
      <c r="AO31" s="17"/>
      <c r="AP31" s="17">
        <v>0</v>
      </c>
      <c r="AQ31" s="17"/>
      <c r="AR31" s="17">
        <v>0</v>
      </c>
      <c r="AS31" s="17"/>
      <c r="AT31" s="28">
        <f t="shared" si="1"/>
        <v>5264900</v>
      </c>
      <c r="AU31" s="17"/>
      <c r="AV31" s="28">
        <f t="shared" si="2"/>
        <v>75444575</v>
      </c>
      <c r="AY31" s="3" t="s">
        <v>383</v>
      </c>
      <c r="AZ31" s="3" t="str">
        <f t="shared" si="3"/>
        <v>Great Oaks Inst of Technology &amp; Career Development</v>
      </c>
      <c r="BA31" s="3" t="b">
        <f t="shared" si="4"/>
        <v>1</v>
      </c>
      <c r="BB31" s="20" t="str">
        <f>GovBS!A31</f>
        <v>Great Oaks Inst of Technology &amp; Career Development</v>
      </c>
      <c r="BC31" s="20" t="b">
        <f t="shared" si="5"/>
        <v>1</v>
      </c>
      <c r="BE31" s="20" t="str">
        <f t="shared" si="6"/>
        <v>Hamilton</v>
      </c>
      <c r="BF31" s="20" t="b">
        <f t="shared" si="7"/>
        <v>1</v>
      </c>
      <c r="BH31" s="20" t="b">
        <f>C31=GovBS!C31</f>
        <v>1</v>
      </c>
    </row>
    <row r="32" spans="1:60" s="16" customFormat="1">
      <c r="A32" s="3" t="s">
        <v>386</v>
      </c>
      <c r="C32" s="16" t="s">
        <v>170</v>
      </c>
      <c r="E32" s="16">
        <v>51045</v>
      </c>
      <c r="G32" s="17">
        <v>9209781</v>
      </c>
      <c r="H32" s="17"/>
      <c r="I32" s="17">
        <v>6910171</v>
      </c>
      <c r="J32" s="17"/>
      <c r="K32" s="17">
        <v>12910</v>
      </c>
      <c r="L32" s="17"/>
      <c r="M32" s="17">
        <f>991812+155719</f>
        <v>1147531</v>
      </c>
      <c r="N32" s="17"/>
      <c r="O32" s="17">
        <v>0</v>
      </c>
      <c r="P32" s="17"/>
      <c r="Q32" s="17">
        <v>0</v>
      </c>
      <c r="R32" s="17"/>
      <c r="S32" s="17">
        <v>0</v>
      </c>
      <c r="T32" s="17"/>
      <c r="U32" s="17">
        <v>378997</v>
      </c>
      <c r="V32" s="17"/>
      <c r="W32" s="28">
        <f t="shared" si="0"/>
        <v>17659390</v>
      </c>
      <c r="X32" s="17"/>
      <c r="Y32" s="17">
        <v>402632</v>
      </c>
      <c r="Z32" s="17"/>
      <c r="AA32" s="17">
        <v>0</v>
      </c>
      <c r="AB32" s="17"/>
      <c r="AC32" s="17">
        <v>0</v>
      </c>
      <c r="AD32" s="17"/>
      <c r="AE32" s="17">
        <v>0</v>
      </c>
      <c r="AF32" s="3" t="s">
        <v>386</v>
      </c>
      <c r="AH32" s="16" t="s">
        <v>170</v>
      </c>
      <c r="AI32" s="17"/>
      <c r="AJ32" s="17">
        <v>0</v>
      </c>
      <c r="AK32" s="17"/>
      <c r="AL32" s="17">
        <v>0</v>
      </c>
      <c r="AM32" s="17"/>
      <c r="AN32" s="17">
        <v>0</v>
      </c>
      <c r="AO32" s="17"/>
      <c r="AP32" s="17">
        <v>0</v>
      </c>
      <c r="AQ32" s="17"/>
      <c r="AR32" s="17">
        <v>0</v>
      </c>
      <c r="AS32" s="17"/>
      <c r="AT32" s="28">
        <f t="shared" si="1"/>
        <v>402632</v>
      </c>
      <c r="AU32" s="17"/>
      <c r="AV32" s="28">
        <f t="shared" si="2"/>
        <v>18062022</v>
      </c>
      <c r="AY32" s="3"/>
      <c r="AZ32" s="3" t="str">
        <f t="shared" si="3"/>
        <v>Greene County VSD</v>
      </c>
      <c r="BA32" s="3" t="b">
        <f t="shared" si="4"/>
        <v>1</v>
      </c>
      <c r="BB32" s="20" t="str">
        <f>GovBS!A32</f>
        <v>Greene County VSD</v>
      </c>
      <c r="BC32" s="20" t="b">
        <f t="shared" si="5"/>
        <v>1</v>
      </c>
      <c r="BE32" s="20" t="str">
        <f t="shared" si="6"/>
        <v>Greene</v>
      </c>
      <c r="BF32" s="20" t="b">
        <f t="shared" si="7"/>
        <v>1</v>
      </c>
      <c r="BH32" s="20" t="b">
        <f>C32=GovBS!C32</f>
        <v>1</v>
      </c>
    </row>
    <row r="33" spans="1:60" s="16" customFormat="1">
      <c r="A33" s="3" t="s">
        <v>216</v>
      </c>
      <c r="C33" s="16" t="s">
        <v>173</v>
      </c>
      <c r="E33" s="16">
        <v>51128</v>
      </c>
      <c r="G33" s="17">
        <v>1518253</v>
      </c>
      <c r="H33" s="17"/>
      <c r="I33" s="17">
        <v>3433270</v>
      </c>
      <c r="J33" s="17"/>
      <c r="K33" s="17">
        <v>310</v>
      </c>
      <c r="L33" s="17"/>
      <c r="M33" s="17">
        <f>247451+89453</f>
        <v>336904</v>
      </c>
      <c r="N33" s="17"/>
      <c r="O33" s="17">
        <v>16992</v>
      </c>
      <c r="P33" s="17"/>
      <c r="Q33" s="17">
        <v>0</v>
      </c>
      <c r="R33" s="17"/>
      <c r="S33" s="17">
        <v>3950</v>
      </c>
      <c r="T33" s="17"/>
      <c r="U33" s="17">
        <v>19960</v>
      </c>
      <c r="V33" s="17"/>
      <c r="W33" s="28">
        <f t="shared" si="0"/>
        <v>5329639</v>
      </c>
      <c r="X33" s="17"/>
      <c r="Y33" s="17">
        <v>95325</v>
      </c>
      <c r="Z33" s="17"/>
      <c r="AA33" s="17">
        <v>0</v>
      </c>
      <c r="AB33" s="17"/>
      <c r="AC33" s="17">
        <v>0</v>
      </c>
      <c r="AD33" s="17"/>
      <c r="AE33" s="17">
        <v>0</v>
      </c>
      <c r="AF33" s="3" t="s">
        <v>216</v>
      </c>
      <c r="AH33" s="16" t="s">
        <v>173</v>
      </c>
      <c r="AI33" s="17"/>
      <c r="AJ33" s="17">
        <v>0</v>
      </c>
      <c r="AK33" s="17"/>
      <c r="AL33" s="17">
        <v>0</v>
      </c>
      <c r="AM33" s="17"/>
      <c r="AN33" s="17">
        <v>0</v>
      </c>
      <c r="AO33" s="17"/>
      <c r="AP33" s="17">
        <v>0</v>
      </c>
      <c r="AQ33" s="17"/>
      <c r="AR33" s="17">
        <v>0</v>
      </c>
      <c r="AS33" s="17"/>
      <c r="AT33" s="28">
        <f t="shared" si="1"/>
        <v>95325</v>
      </c>
      <c r="AU33" s="17"/>
      <c r="AV33" s="28">
        <f t="shared" si="2"/>
        <v>5424964</v>
      </c>
      <c r="AY33" s="3"/>
      <c r="AZ33" s="3" t="str">
        <f t="shared" si="3"/>
        <v>Jefferson County JVSD</v>
      </c>
      <c r="BA33" s="3" t="b">
        <f t="shared" si="4"/>
        <v>1</v>
      </c>
      <c r="BB33" s="20" t="str">
        <f>GovBS!A33</f>
        <v>Jefferson County JVSD</v>
      </c>
      <c r="BC33" s="20" t="b">
        <f t="shared" si="5"/>
        <v>1</v>
      </c>
      <c r="BE33" s="20" t="str">
        <f t="shared" si="6"/>
        <v>Jefferson</v>
      </c>
      <c r="BF33" s="20" t="b">
        <f t="shared" si="7"/>
        <v>1</v>
      </c>
      <c r="BH33" s="20" t="b">
        <f>C33=GovBS!C33</f>
        <v>1</v>
      </c>
    </row>
    <row r="34" spans="1:60" s="16" customFormat="1">
      <c r="A34" s="3" t="s">
        <v>255</v>
      </c>
      <c r="C34" s="16" t="s">
        <v>174</v>
      </c>
      <c r="E34" s="16">
        <v>51144</v>
      </c>
      <c r="G34" s="17">
        <v>3167622</v>
      </c>
      <c r="H34" s="17"/>
      <c r="I34" s="17">
        <v>6689403</v>
      </c>
      <c r="J34" s="17"/>
      <c r="K34" s="17">
        <v>120086</v>
      </c>
      <c r="L34" s="17"/>
      <c r="M34" s="17">
        <f>1573116+60912+210733</f>
        <v>1844761</v>
      </c>
      <c r="N34" s="17"/>
      <c r="O34" s="17">
        <v>0</v>
      </c>
      <c r="P34" s="17"/>
      <c r="Q34" s="17">
        <v>82907</v>
      </c>
      <c r="R34" s="17"/>
      <c r="S34" s="17">
        <v>26880</v>
      </c>
      <c r="T34" s="17"/>
      <c r="U34" s="17">
        <v>12395</v>
      </c>
      <c r="V34" s="17"/>
      <c r="W34" s="28">
        <f t="shared" si="0"/>
        <v>11944054</v>
      </c>
      <c r="X34" s="17"/>
      <c r="Y34" s="17">
        <v>194091</v>
      </c>
      <c r="Z34" s="17"/>
      <c r="AA34" s="17">
        <v>0</v>
      </c>
      <c r="AB34" s="17"/>
      <c r="AC34" s="17">
        <v>0</v>
      </c>
      <c r="AD34" s="17"/>
      <c r="AE34" s="17">
        <v>0</v>
      </c>
      <c r="AF34" s="3" t="s">
        <v>255</v>
      </c>
      <c r="AH34" s="16" t="s">
        <v>174</v>
      </c>
      <c r="AI34" s="17"/>
      <c r="AJ34" s="17">
        <v>0</v>
      </c>
      <c r="AK34" s="17"/>
      <c r="AL34" s="17">
        <v>0</v>
      </c>
      <c r="AM34" s="17"/>
      <c r="AN34" s="17">
        <v>0</v>
      </c>
      <c r="AO34" s="17"/>
      <c r="AP34" s="17">
        <v>0</v>
      </c>
      <c r="AQ34" s="17"/>
      <c r="AR34" s="17">
        <v>0</v>
      </c>
      <c r="AS34" s="17"/>
      <c r="AT34" s="28">
        <f t="shared" si="1"/>
        <v>194091</v>
      </c>
      <c r="AU34" s="17"/>
      <c r="AV34" s="28">
        <f t="shared" si="2"/>
        <v>12138145</v>
      </c>
      <c r="AY34" s="3"/>
      <c r="AZ34" s="3" t="str">
        <f t="shared" si="3"/>
        <v>Knox County Career Center</v>
      </c>
      <c r="BA34" s="3" t="b">
        <f t="shared" si="4"/>
        <v>1</v>
      </c>
      <c r="BB34" s="20" t="str">
        <f>GovBS!A34</f>
        <v>Knox County Career Center</v>
      </c>
      <c r="BC34" s="20" t="b">
        <f t="shared" si="5"/>
        <v>1</v>
      </c>
      <c r="BE34" s="20" t="str">
        <f t="shared" si="6"/>
        <v>Knox</v>
      </c>
      <c r="BF34" s="20" t="b">
        <f t="shared" si="7"/>
        <v>1</v>
      </c>
      <c r="BH34" s="20" t="b">
        <f>C34=GovBS!C34</f>
        <v>1</v>
      </c>
    </row>
    <row r="35" spans="1:60" s="16" customFormat="1">
      <c r="A35" s="3" t="s">
        <v>217</v>
      </c>
      <c r="C35" s="16" t="s">
        <v>175</v>
      </c>
      <c r="E35" s="16">
        <v>51185</v>
      </c>
      <c r="G35" s="17">
        <v>1535720</v>
      </c>
      <c r="H35" s="17"/>
      <c r="I35" s="17">
        <v>9482813</v>
      </c>
      <c r="J35" s="17"/>
      <c r="K35" s="17">
        <v>277881</v>
      </c>
      <c r="L35" s="17"/>
      <c r="M35" s="17">
        <f>2298669+180300</f>
        <v>2478969</v>
      </c>
      <c r="N35" s="17"/>
      <c r="O35" s="17">
        <v>0</v>
      </c>
      <c r="P35" s="17"/>
      <c r="Q35" s="17">
        <v>0</v>
      </c>
      <c r="R35" s="17"/>
      <c r="S35" s="17">
        <v>0</v>
      </c>
      <c r="T35" s="17"/>
      <c r="U35" s="17">
        <v>299484</v>
      </c>
      <c r="V35" s="17"/>
      <c r="W35" s="28">
        <f t="shared" si="0"/>
        <v>14074867</v>
      </c>
      <c r="X35" s="17"/>
      <c r="Y35" s="17">
        <v>571230</v>
      </c>
      <c r="Z35" s="17"/>
      <c r="AA35" s="17">
        <v>0</v>
      </c>
      <c r="AB35" s="17"/>
      <c r="AC35" s="17">
        <v>0</v>
      </c>
      <c r="AD35" s="17"/>
      <c r="AE35" s="17">
        <v>0</v>
      </c>
      <c r="AF35" s="3" t="s">
        <v>217</v>
      </c>
      <c r="AH35" s="16" t="s">
        <v>175</v>
      </c>
      <c r="AI35" s="17"/>
      <c r="AJ35" s="17">
        <v>0</v>
      </c>
      <c r="AK35" s="17"/>
      <c r="AL35" s="17">
        <v>0</v>
      </c>
      <c r="AM35" s="17"/>
      <c r="AN35" s="17">
        <v>0</v>
      </c>
      <c r="AO35" s="17"/>
      <c r="AP35" s="17">
        <v>0</v>
      </c>
      <c r="AQ35" s="17"/>
      <c r="AR35" s="17">
        <v>0</v>
      </c>
      <c r="AS35" s="17"/>
      <c r="AT35" s="28">
        <f t="shared" si="1"/>
        <v>571230</v>
      </c>
      <c r="AU35" s="17"/>
      <c r="AV35" s="28">
        <f t="shared" si="2"/>
        <v>14646097</v>
      </c>
      <c r="AY35" s="3"/>
      <c r="AZ35" s="3" t="str">
        <f t="shared" si="3"/>
        <v>Lawrence County JVSD</v>
      </c>
      <c r="BA35" s="3" t="b">
        <f t="shared" si="4"/>
        <v>1</v>
      </c>
      <c r="BB35" s="20" t="str">
        <f>GovBS!A35</f>
        <v>Lawrence County JVSD</v>
      </c>
      <c r="BC35" s="20" t="b">
        <f t="shared" si="5"/>
        <v>1</v>
      </c>
      <c r="BE35" s="20" t="str">
        <f t="shared" si="6"/>
        <v>Lawrence</v>
      </c>
      <c r="BF35" s="20" t="b">
        <f t="shared" si="7"/>
        <v>1</v>
      </c>
      <c r="BH35" s="20" t="b">
        <f>C35=GovBS!C35</f>
        <v>1</v>
      </c>
    </row>
    <row r="36" spans="1:60" s="66" customFormat="1" hidden="1">
      <c r="A36" s="65" t="s">
        <v>308</v>
      </c>
      <c r="C36" s="66" t="s">
        <v>176</v>
      </c>
      <c r="E36" s="66">
        <v>47977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9">
        <f t="shared" si="0"/>
        <v>0</v>
      </c>
      <c r="X36" s="67"/>
      <c r="Y36" s="67"/>
      <c r="Z36" s="67"/>
      <c r="AA36" s="67">
        <v>0</v>
      </c>
      <c r="AB36" s="67"/>
      <c r="AC36" s="67">
        <v>0</v>
      </c>
      <c r="AD36" s="67"/>
      <c r="AE36" s="67"/>
      <c r="AF36" s="65" t="s">
        <v>308</v>
      </c>
      <c r="AH36" s="66" t="s">
        <v>176</v>
      </c>
      <c r="AI36" s="67"/>
      <c r="AJ36" s="67">
        <v>0</v>
      </c>
      <c r="AK36" s="67"/>
      <c r="AL36" s="67">
        <v>0</v>
      </c>
      <c r="AM36" s="67"/>
      <c r="AN36" s="67">
        <v>0</v>
      </c>
      <c r="AO36" s="67"/>
      <c r="AP36" s="67"/>
      <c r="AQ36" s="67"/>
      <c r="AR36" s="67"/>
      <c r="AS36" s="67"/>
      <c r="AT36" s="69">
        <f t="shared" si="1"/>
        <v>0</v>
      </c>
      <c r="AU36" s="67"/>
      <c r="AV36" s="69">
        <f t="shared" si="2"/>
        <v>0</v>
      </c>
      <c r="AY36" s="65" t="s">
        <v>389</v>
      </c>
      <c r="AZ36" s="65" t="str">
        <f t="shared" si="3"/>
        <v>Licking Co Career &amp; Tech Center</v>
      </c>
      <c r="BA36" s="65" t="b">
        <f t="shared" si="4"/>
        <v>1</v>
      </c>
      <c r="BB36" s="68" t="str">
        <f>GovBS!A36</f>
        <v>Licking Co Career &amp; Tech Center</v>
      </c>
      <c r="BC36" s="68" t="b">
        <f t="shared" si="5"/>
        <v>1</v>
      </c>
      <c r="BE36" s="68" t="str">
        <f t="shared" si="6"/>
        <v>Licking</v>
      </c>
      <c r="BF36" s="68" t="b">
        <f t="shared" si="7"/>
        <v>1</v>
      </c>
      <c r="BH36" s="68" t="b">
        <f>C36=GovBS!C36</f>
        <v>1</v>
      </c>
    </row>
    <row r="37" spans="1:60" s="16" customFormat="1">
      <c r="A37" s="3" t="s">
        <v>219</v>
      </c>
      <c r="C37" s="16" t="s">
        <v>145</v>
      </c>
      <c r="E37" s="16">
        <v>51227</v>
      </c>
      <c r="G37" s="17">
        <v>11171290</v>
      </c>
      <c r="H37" s="17"/>
      <c r="I37" s="17">
        <v>11420847</v>
      </c>
      <c r="J37" s="17"/>
      <c r="K37" s="17">
        <v>61079</v>
      </c>
      <c r="L37" s="17"/>
      <c r="M37" s="17">
        <f>1499767+3641</f>
        <v>1503408</v>
      </c>
      <c r="N37" s="17"/>
      <c r="O37" s="17">
        <v>0</v>
      </c>
      <c r="P37" s="17"/>
      <c r="Q37" s="17">
        <v>0</v>
      </c>
      <c r="R37" s="17"/>
      <c r="S37" s="17">
        <v>0</v>
      </c>
      <c r="T37" s="17"/>
      <c r="U37" s="17">
        <v>712054</v>
      </c>
      <c r="V37" s="17"/>
      <c r="W37" s="28">
        <f t="shared" si="0"/>
        <v>24868678</v>
      </c>
      <c r="X37" s="17"/>
      <c r="Y37" s="17">
        <v>900000</v>
      </c>
      <c r="Z37" s="17"/>
      <c r="AA37" s="17">
        <v>0</v>
      </c>
      <c r="AB37" s="17"/>
      <c r="AC37" s="17">
        <v>0</v>
      </c>
      <c r="AD37" s="17"/>
      <c r="AE37" s="17">
        <v>0</v>
      </c>
      <c r="AF37" s="3" t="s">
        <v>219</v>
      </c>
      <c r="AH37" s="16" t="s">
        <v>145</v>
      </c>
      <c r="AI37" s="17"/>
      <c r="AJ37" s="17">
        <v>0</v>
      </c>
      <c r="AK37" s="17"/>
      <c r="AL37" s="17">
        <v>0</v>
      </c>
      <c r="AM37" s="17"/>
      <c r="AN37" s="17"/>
      <c r="AO37" s="17"/>
      <c r="AP37" s="17">
        <v>0</v>
      </c>
      <c r="AQ37" s="17"/>
      <c r="AR37" s="17">
        <v>0</v>
      </c>
      <c r="AS37" s="17"/>
      <c r="AT37" s="28">
        <f t="shared" si="1"/>
        <v>900000</v>
      </c>
      <c r="AU37" s="17"/>
      <c r="AV37" s="28">
        <f t="shared" si="2"/>
        <v>25768678</v>
      </c>
      <c r="AY37" s="3" t="s">
        <v>383</v>
      </c>
      <c r="AZ37" s="3" t="str">
        <f t="shared" si="3"/>
        <v>Lorain County JVSD</v>
      </c>
      <c r="BA37" s="3" t="b">
        <f t="shared" si="4"/>
        <v>1</v>
      </c>
      <c r="BB37" s="20" t="str">
        <f>GovBS!A37</f>
        <v>Lorain County JVSD</v>
      </c>
      <c r="BC37" s="20" t="b">
        <f t="shared" si="5"/>
        <v>1</v>
      </c>
      <c r="BE37" s="20" t="str">
        <f t="shared" si="6"/>
        <v>Lorain</v>
      </c>
      <c r="BF37" s="20" t="b">
        <f t="shared" si="7"/>
        <v>1</v>
      </c>
      <c r="BH37" s="20" t="b">
        <f>C37=GovBS!C37</f>
        <v>1</v>
      </c>
    </row>
    <row r="38" spans="1:60" s="16" customFormat="1">
      <c r="A38" s="3" t="s">
        <v>309</v>
      </c>
      <c r="C38" s="16" t="s">
        <v>179</v>
      </c>
      <c r="E38" s="16">
        <v>51243</v>
      </c>
      <c r="G38" s="17">
        <v>6119050</v>
      </c>
      <c r="H38" s="17"/>
      <c r="I38" s="17">
        <v>5192127</v>
      </c>
      <c r="J38" s="17"/>
      <c r="K38" s="17">
        <v>345420</v>
      </c>
      <c r="L38" s="17"/>
      <c r="M38" s="17">
        <f>898894+175743+975</f>
        <v>1075612</v>
      </c>
      <c r="N38" s="17"/>
      <c r="O38" s="17">
        <v>0</v>
      </c>
      <c r="P38" s="17"/>
      <c r="Q38" s="17">
        <v>0</v>
      </c>
      <c r="R38" s="17"/>
      <c r="S38" s="17">
        <v>5732</v>
      </c>
      <c r="T38" s="17"/>
      <c r="U38" s="17">
        <v>72507</v>
      </c>
      <c r="V38" s="17"/>
      <c r="W38" s="28">
        <f t="shared" si="0"/>
        <v>12810448</v>
      </c>
      <c r="X38" s="17"/>
      <c r="Y38" s="17">
        <v>57126</v>
      </c>
      <c r="Z38" s="17"/>
      <c r="AA38" s="17">
        <v>0</v>
      </c>
      <c r="AB38" s="17"/>
      <c r="AC38" s="17">
        <v>0</v>
      </c>
      <c r="AD38" s="17"/>
      <c r="AE38" s="17">
        <v>0</v>
      </c>
      <c r="AF38" s="3" t="s">
        <v>309</v>
      </c>
      <c r="AH38" s="16" t="s">
        <v>179</v>
      </c>
      <c r="AI38" s="17"/>
      <c r="AJ38" s="17">
        <v>0</v>
      </c>
      <c r="AK38" s="17"/>
      <c r="AL38" s="17">
        <v>2194</v>
      </c>
      <c r="AM38" s="17"/>
      <c r="AN38" s="17"/>
      <c r="AO38" s="17"/>
      <c r="AP38" s="17">
        <v>0</v>
      </c>
      <c r="AQ38" s="17"/>
      <c r="AR38" s="17">
        <v>0</v>
      </c>
      <c r="AS38" s="17"/>
      <c r="AT38" s="28">
        <f t="shared" si="1"/>
        <v>59320</v>
      </c>
      <c r="AU38" s="17"/>
      <c r="AV38" s="28">
        <f t="shared" si="2"/>
        <v>12869768</v>
      </c>
      <c r="AY38" s="3"/>
      <c r="AZ38" s="3" t="str">
        <f t="shared" si="3"/>
        <v>Mahoning Co Career &amp; Tech Center</v>
      </c>
      <c r="BA38" s="3" t="b">
        <f t="shared" si="4"/>
        <v>1</v>
      </c>
      <c r="BB38" s="20" t="str">
        <f>GovBS!A38</f>
        <v>Mahoning Co Career &amp; Tech Center</v>
      </c>
      <c r="BC38" s="20" t="b">
        <f t="shared" si="5"/>
        <v>1</v>
      </c>
      <c r="BE38" s="20" t="str">
        <f t="shared" si="6"/>
        <v>Mahoning</v>
      </c>
      <c r="BF38" s="20" t="b">
        <f t="shared" si="7"/>
        <v>1</v>
      </c>
      <c r="BH38" s="20" t="b">
        <f>C38=GovBS!C38</f>
        <v>1</v>
      </c>
    </row>
    <row r="39" spans="1:60" s="16" customFormat="1">
      <c r="A39" s="3" t="s">
        <v>256</v>
      </c>
      <c r="C39" s="16" t="s">
        <v>190</v>
      </c>
      <c r="E39" s="16">
        <v>51391</v>
      </c>
      <c r="G39" s="17">
        <v>5447004</v>
      </c>
      <c r="H39" s="17"/>
      <c r="I39" s="17">
        <v>6745393</v>
      </c>
      <c r="J39" s="17"/>
      <c r="K39" s="17">
        <v>262645</v>
      </c>
      <c r="L39" s="17"/>
      <c r="M39" s="17">
        <f>293512+14244+246658</f>
        <v>554414</v>
      </c>
      <c r="N39" s="17"/>
      <c r="O39" s="17">
        <v>0</v>
      </c>
      <c r="P39" s="17"/>
      <c r="Q39" s="17">
        <v>0</v>
      </c>
      <c r="R39" s="17"/>
      <c r="S39" s="17">
        <v>28226</v>
      </c>
      <c r="T39" s="17"/>
      <c r="U39" s="17">
        <v>188107</v>
      </c>
      <c r="V39" s="17"/>
      <c r="W39" s="28">
        <f t="shared" si="0"/>
        <v>13225789</v>
      </c>
      <c r="X39" s="17"/>
      <c r="Y39" s="17">
        <v>0</v>
      </c>
      <c r="Z39" s="17"/>
      <c r="AA39" s="17">
        <v>0</v>
      </c>
      <c r="AB39" s="17"/>
      <c r="AC39" s="17">
        <v>0</v>
      </c>
      <c r="AD39" s="17"/>
      <c r="AE39" s="17">
        <v>0</v>
      </c>
      <c r="AF39" s="3" t="s">
        <v>256</v>
      </c>
      <c r="AH39" s="16" t="s">
        <v>190</v>
      </c>
      <c r="AI39" s="17"/>
      <c r="AJ39" s="17">
        <v>0</v>
      </c>
      <c r="AK39" s="17"/>
      <c r="AL39" s="17">
        <v>0</v>
      </c>
      <c r="AM39" s="17"/>
      <c r="AN39" s="17"/>
      <c r="AO39" s="17"/>
      <c r="AP39" s="17">
        <v>0</v>
      </c>
      <c r="AQ39" s="17"/>
      <c r="AR39" s="17">
        <v>0</v>
      </c>
      <c r="AS39" s="17"/>
      <c r="AT39" s="28">
        <f t="shared" si="1"/>
        <v>0</v>
      </c>
      <c r="AU39" s="17"/>
      <c r="AV39" s="28">
        <f t="shared" si="2"/>
        <v>13225789</v>
      </c>
      <c r="AY39" s="3"/>
      <c r="AZ39" s="3" t="str">
        <f t="shared" si="3"/>
        <v>Maplewood Career Center</v>
      </c>
      <c r="BA39" s="3" t="b">
        <f t="shared" si="4"/>
        <v>1</v>
      </c>
      <c r="BB39" s="20" t="str">
        <f>GovBS!A39</f>
        <v>Maplewood Career Center</v>
      </c>
      <c r="BC39" s="20" t="b">
        <f t="shared" si="5"/>
        <v>1</v>
      </c>
      <c r="BE39" s="20" t="str">
        <f t="shared" si="6"/>
        <v>Portage</v>
      </c>
      <c r="BF39" s="20" t="b">
        <f t="shared" si="7"/>
        <v>1</v>
      </c>
      <c r="BH39" s="20" t="b">
        <f>C39=GovBS!C39</f>
        <v>1</v>
      </c>
    </row>
    <row r="40" spans="1:60" s="16" customFormat="1">
      <c r="A40" s="3" t="s">
        <v>223</v>
      </c>
      <c r="C40" s="16" t="s">
        <v>181</v>
      </c>
      <c r="E40" s="16">
        <v>62109</v>
      </c>
      <c r="G40" s="17">
        <v>7159396</v>
      </c>
      <c r="H40" s="17"/>
      <c r="I40" s="17">
        <v>9061815</v>
      </c>
      <c r="J40" s="17"/>
      <c r="K40" s="17">
        <v>10542</v>
      </c>
      <c r="L40" s="17"/>
      <c r="M40" s="17">
        <f>31026+4520+115831</f>
        <v>151377</v>
      </c>
      <c r="N40" s="17"/>
      <c r="O40" s="17">
        <v>28493</v>
      </c>
      <c r="P40" s="17"/>
      <c r="Q40" s="17">
        <v>17108</v>
      </c>
      <c r="R40" s="17"/>
      <c r="S40" s="17">
        <v>0</v>
      </c>
      <c r="T40" s="17"/>
      <c r="U40" s="17">
        <v>79013</v>
      </c>
      <c r="V40" s="17"/>
      <c r="W40" s="28">
        <f t="shared" si="0"/>
        <v>16507744</v>
      </c>
      <c r="X40" s="17"/>
      <c r="Y40" s="17">
        <v>0</v>
      </c>
      <c r="Z40" s="17"/>
      <c r="AA40" s="17">
        <v>0</v>
      </c>
      <c r="AB40" s="17"/>
      <c r="AC40" s="17">
        <v>0</v>
      </c>
      <c r="AD40" s="17"/>
      <c r="AE40" s="17">
        <v>0</v>
      </c>
      <c r="AF40" s="3" t="s">
        <v>223</v>
      </c>
      <c r="AH40" s="16" t="s">
        <v>181</v>
      </c>
      <c r="AI40" s="17"/>
      <c r="AJ40" s="17">
        <v>0</v>
      </c>
      <c r="AK40" s="17"/>
      <c r="AL40" s="17">
        <v>0</v>
      </c>
      <c r="AM40" s="17"/>
      <c r="AN40" s="17"/>
      <c r="AO40" s="17"/>
      <c r="AP40" s="17">
        <v>0</v>
      </c>
      <c r="AQ40" s="17"/>
      <c r="AR40" s="17">
        <v>0</v>
      </c>
      <c r="AS40" s="17"/>
      <c r="AT40" s="28">
        <f t="shared" si="1"/>
        <v>0</v>
      </c>
      <c r="AU40" s="17"/>
      <c r="AV40" s="28">
        <f t="shared" si="2"/>
        <v>16507744</v>
      </c>
      <c r="AY40" s="3"/>
      <c r="AZ40" s="3" t="str">
        <f t="shared" si="3"/>
        <v>Medina County JVSD</v>
      </c>
      <c r="BA40" s="3" t="b">
        <f t="shared" si="4"/>
        <v>1</v>
      </c>
      <c r="BB40" s="20" t="str">
        <f>GovBS!A40</f>
        <v>Medina County JVSD</v>
      </c>
      <c r="BC40" s="20" t="b">
        <f t="shared" si="5"/>
        <v>1</v>
      </c>
      <c r="BE40" s="20" t="str">
        <f t="shared" si="6"/>
        <v>Medina</v>
      </c>
      <c r="BF40" s="20" t="b">
        <f t="shared" si="7"/>
        <v>1</v>
      </c>
      <c r="BH40" s="20" t="b">
        <f>C40=GovBS!C40</f>
        <v>1</v>
      </c>
    </row>
    <row r="41" spans="1:60" s="16" customFormat="1">
      <c r="A41" s="3" t="s">
        <v>310</v>
      </c>
      <c r="C41" s="16" t="s">
        <v>184</v>
      </c>
      <c r="E41" s="16">
        <v>51284</v>
      </c>
      <c r="G41" s="17">
        <v>13031723</v>
      </c>
      <c r="H41" s="17"/>
      <c r="I41" s="17">
        <v>19583102</v>
      </c>
      <c r="J41" s="17"/>
      <c r="K41" s="17">
        <v>9657</v>
      </c>
      <c r="L41" s="17"/>
      <c r="M41" s="17">
        <f>3619472+69000</f>
        <v>3688472</v>
      </c>
      <c r="N41" s="17"/>
      <c r="O41" s="17">
        <v>6176</v>
      </c>
      <c r="P41" s="17"/>
      <c r="Q41" s="17">
        <v>0</v>
      </c>
      <c r="R41" s="17"/>
      <c r="S41" s="17">
        <v>0</v>
      </c>
      <c r="T41" s="17"/>
      <c r="U41" s="17">
        <v>287100</v>
      </c>
      <c r="V41" s="17"/>
      <c r="W41" s="28">
        <f t="shared" si="0"/>
        <v>36606230</v>
      </c>
      <c r="X41" s="17"/>
      <c r="Y41" s="17">
        <v>346795</v>
      </c>
      <c r="Z41" s="17"/>
      <c r="AA41" s="17">
        <v>0</v>
      </c>
      <c r="AB41" s="17"/>
      <c r="AC41" s="17">
        <v>0</v>
      </c>
      <c r="AD41" s="17"/>
      <c r="AE41" s="17">
        <v>0</v>
      </c>
      <c r="AF41" s="3" t="s">
        <v>310</v>
      </c>
      <c r="AH41" s="16" t="s">
        <v>184</v>
      </c>
      <c r="AI41" s="17"/>
      <c r="AJ41" s="17">
        <v>0</v>
      </c>
      <c r="AK41" s="17"/>
      <c r="AL41" s="17">
        <v>0</v>
      </c>
      <c r="AM41" s="17"/>
      <c r="AN41" s="17"/>
      <c r="AO41" s="17"/>
      <c r="AP41" s="17">
        <v>0</v>
      </c>
      <c r="AQ41" s="17"/>
      <c r="AR41" s="17">
        <v>0</v>
      </c>
      <c r="AS41" s="17"/>
      <c r="AT41" s="28">
        <f t="shared" si="1"/>
        <v>346795</v>
      </c>
      <c r="AU41" s="17"/>
      <c r="AV41" s="28">
        <f t="shared" si="2"/>
        <v>36953025</v>
      </c>
      <c r="AY41" s="3" t="s">
        <v>396</v>
      </c>
      <c r="AZ41" s="3" t="str">
        <f t="shared" si="3"/>
        <v>Miami Valley Career Tech Center</v>
      </c>
      <c r="BA41" s="3" t="b">
        <f t="shared" si="4"/>
        <v>1</v>
      </c>
      <c r="BB41" s="20" t="str">
        <f>GovBS!A41</f>
        <v>Miami Valley Career Tech Center</v>
      </c>
      <c r="BC41" s="20" t="b">
        <f t="shared" si="5"/>
        <v>1</v>
      </c>
      <c r="BE41" s="20" t="str">
        <f t="shared" si="6"/>
        <v>Montgomery</v>
      </c>
      <c r="BF41" s="20" t="b">
        <f t="shared" si="7"/>
        <v>1</v>
      </c>
      <c r="BH41" s="20" t="b">
        <f>C41=GovBS!C41</f>
        <v>1</v>
      </c>
    </row>
    <row r="42" spans="1:60" s="16" customFormat="1">
      <c r="A42" s="3" t="s">
        <v>397</v>
      </c>
      <c r="C42" s="16" t="s">
        <v>186</v>
      </c>
      <c r="E42" s="16">
        <v>51300</v>
      </c>
      <c r="G42" s="17">
        <v>9464298</v>
      </c>
      <c r="H42" s="17"/>
      <c r="I42" s="17">
        <v>12317899</v>
      </c>
      <c r="J42" s="17"/>
      <c r="K42" s="17">
        <v>254103</v>
      </c>
      <c r="L42" s="17"/>
      <c r="M42" s="17">
        <f>2878794+1742+318474</f>
        <v>3199010</v>
      </c>
      <c r="N42" s="17"/>
      <c r="O42" s="17">
        <v>0</v>
      </c>
      <c r="P42" s="17"/>
      <c r="Q42" s="17">
        <v>51364</v>
      </c>
      <c r="R42" s="17"/>
      <c r="S42" s="17">
        <v>99239</v>
      </c>
      <c r="T42" s="17"/>
      <c r="U42" s="17">
        <v>49162</v>
      </c>
      <c r="V42" s="17"/>
      <c r="W42" s="28">
        <f t="shared" si="0"/>
        <v>25435075</v>
      </c>
      <c r="X42" s="17"/>
      <c r="Y42" s="17">
        <v>1036993</v>
      </c>
      <c r="Z42" s="17"/>
      <c r="AA42" s="17">
        <v>0</v>
      </c>
      <c r="AB42" s="17"/>
      <c r="AC42" s="17">
        <v>0</v>
      </c>
      <c r="AD42" s="17"/>
      <c r="AE42" s="17">
        <v>0</v>
      </c>
      <c r="AF42" s="3" t="s">
        <v>397</v>
      </c>
      <c r="AH42" s="16" t="s">
        <v>186</v>
      </c>
      <c r="AI42" s="17"/>
      <c r="AJ42" s="17">
        <v>0</v>
      </c>
      <c r="AK42" s="17"/>
      <c r="AL42" s="17">
        <v>0</v>
      </c>
      <c r="AM42" s="17"/>
      <c r="AN42" s="17"/>
      <c r="AO42" s="17"/>
      <c r="AP42" s="17">
        <v>0</v>
      </c>
      <c r="AQ42" s="17"/>
      <c r="AR42" s="17">
        <v>0</v>
      </c>
      <c r="AS42" s="17"/>
      <c r="AT42" s="28">
        <f t="shared" si="1"/>
        <v>1036993</v>
      </c>
      <c r="AU42" s="17"/>
      <c r="AV42" s="28">
        <f t="shared" si="2"/>
        <v>26472068</v>
      </c>
      <c r="AY42" s="3"/>
      <c r="AZ42" s="3" t="str">
        <f t="shared" si="3"/>
        <v>Mid-East Career &amp; Tech Centers</v>
      </c>
      <c r="BA42" s="3" t="b">
        <f t="shared" si="4"/>
        <v>1</v>
      </c>
      <c r="BB42" s="20" t="str">
        <f>GovBS!A42</f>
        <v>Mid-East Career &amp; Tech Centers</v>
      </c>
      <c r="BC42" s="20" t="b">
        <f t="shared" si="5"/>
        <v>1</v>
      </c>
      <c r="BE42" s="20" t="str">
        <f t="shared" si="6"/>
        <v>Muskingum</v>
      </c>
      <c r="BF42" s="20" t="b">
        <f t="shared" si="7"/>
        <v>1</v>
      </c>
      <c r="BH42" s="20" t="b">
        <f>C42=GovBS!C42</f>
        <v>1</v>
      </c>
    </row>
    <row r="43" spans="1:60" s="16" customFormat="1">
      <c r="A43" s="3" t="s">
        <v>218</v>
      </c>
      <c r="C43" s="16" t="s">
        <v>177</v>
      </c>
      <c r="E43" s="16">
        <v>51334</v>
      </c>
      <c r="G43" s="17">
        <v>4971729</v>
      </c>
      <c r="H43" s="17"/>
      <c r="I43" s="17">
        <v>7981758</v>
      </c>
      <c r="J43" s="17"/>
      <c r="K43" s="17">
        <v>44262</v>
      </c>
      <c r="L43" s="17"/>
      <c r="M43" s="17">
        <f>1747471+161836</f>
        <v>1909307</v>
      </c>
      <c r="N43" s="17"/>
      <c r="O43" s="17">
        <v>0</v>
      </c>
      <c r="P43" s="17"/>
      <c r="Q43" s="17">
        <v>0</v>
      </c>
      <c r="R43" s="17"/>
      <c r="S43" s="17">
        <v>0</v>
      </c>
      <c r="T43" s="17"/>
      <c r="U43" s="17">
        <v>255804</v>
      </c>
      <c r="V43" s="17"/>
      <c r="W43" s="28">
        <f t="shared" si="0"/>
        <v>15162860</v>
      </c>
      <c r="X43" s="17"/>
      <c r="Y43" s="17">
        <v>0</v>
      </c>
      <c r="Z43" s="17"/>
      <c r="AA43" s="17">
        <v>0</v>
      </c>
      <c r="AB43" s="17"/>
      <c r="AC43" s="17">
        <v>0</v>
      </c>
      <c r="AD43" s="17"/>
      <c r="AE43" s="17">
        <v>0</v>
      </c>
      <c r="AF43" s="3" t="s">
        <v>218</v>
      </c>
      <c r="AH43" s="16" t="s">
        <v>177</v>
      </c>
      <c r="AI43" s="17"/>
      <c r="AJ43" s="17">
        <v>0</v>
      </c>
      <c r="AK43" s="17"/>
      <c r="AL43" s="17">
        <v>0</v>
      </c>
      <c r="AM43" s="17"/>
      <c r="AN43" s="17"/>
      <c r="AO43" s="17"/>
      <c r="AP43" s="17">
        <v>0</v>
      </c>
      <c r="AQ43" s="17"/>
      <c r="AR43" s="17">
        <v>0</v>
      </c>
      <c r="AS43" s="17"/>
      <c r="AT43" s="28">
        <f t="shared" si="1"/>
        <v>0</v>
      </c>
      <c r="AU43" s="17"/>
      <c r="AV43" s="28">
        <f t="shared" si="2"/>
        <v>15162860</v>
      </c>
      <c r="AY43" s="32" t="s">
        <v>401</v>
      </c>
      <c r="AZ43" s="3" t="str">
        <f t="shared" si="3"/>
        <v>Ohio Hi-Point JVSD</v>
      </c>
      <c r="BA43" s="3" t="b">
        <f t="shared" si="4"/>
        <v>1</v>
      </c>
      <c r="BB43" s="20" t="str">
        <f>GovBS!A43</f>
        <v>Ohio Hi-Point JVSD</v>
      </c>
      <c r="BC43" s="20" t="b">
        <f t="shared" si="5"/>
        <v>1</v>
      </c>
      <c r="BE43" s="20" t="str">
        <f t="shared" si="6"/>
        <v>Logan</v>
      </c>
      <c r="BF43" s="20" t="b">
        <f t="shared" si="7"/>
        <v>1</v>
      </c>
      <c r="BH43" s="20" t="b">
        <f>C43=GovBS!C43</f>
        <v>1</v>
      </c>
    </row>
    <row r="44" spans="1:60" s="16" customFormat="1">
      <c r="A44" s="3" t="s">
        <v>402</v>
      </c>
      <c r="C44" s="16" t="s">
        <v>209</v>
      </c>
      <c r="E44" s="16">
        <v>51359</v>
      </c>
      <c r="G44" s="17">
        <v>15959973</v>
      </c>
      <c r="H44" s="17"/>
      <c r="I44" s="17">
        <f>18052975+1370443</f>
        <v>19423418</v>
      </c>
      <c r="J44" s="17"/>
      <c r="K44" s="17">
        <v>312073</v>
      </c>
      <c r="L44" s="17"/>
      <c r="M44" s="17">
        <f>404704+352641+304284+18626+1000</f>
        <v>1081255</v>
      </c>
      <c r="N44" s="17"/>
      <c r="O44" s="17">
        <v>12166</v>
      </c>
      <c r="P44" s="17"/>
      <c r="Q44" s="17">
        <v>251530</v>
      </c>
      <c r="R44" s="17"/>
      <c r="S44" s="17">
        <v>1145</v>
      </c>
      <c r="T44" s="17"/>
      <c r="U44" s="17">
        <f>254167+7843</f>
        <v>262010</v>
      </c>
      <c r="V44" s="17"/>
      <c r="W44" s="28">
        <f t="shared" si="0"/>
        <v>37303570</v>
      </c>
      <c r="X44" s="17"/>
      <c r="Y44" s="17">
        <v>3999916</v>
      </c>
      <c r="Z44" s="17"/>
      <c r="AA44" s="17">
        <v>0</v>
      </c>
      <c r="AB44" s="17"/>
      <c r="AC44" s="17">
        <v>0</v>
      </c>
      <c r="AD44" s="17"/>
      <c r="AE44" s="17">
        <v>0</v>
      </c>
      <c r="AF44" s="3" t="s">
        <v>402</v>
      </c>
      <c r="AH44" s="16" t="s">
        <v>209</v>
      </c>
      <c r="AI44" s="17"/>
      <c r="AJ44" s="17">
        <v>0</v>
      </c>
      <c r="AK44" s="17"/>
      <c r="AL44" s="17">
        <v>0</v>
      </c>
      <c r="AM44" s="17"/>
      <c r="AN44" s="17"/>
      <c r="AO44" s="17"/>
      <c r="AP44" s="17">
        <v>0</v>
      </c>
      <c r="AQ44" s="17"/>
      <c r="AR44" s="17">
        <v>0</v>
      </c>
      <c r="AS44" s="17"/>
      <c r="AT44" s="28">
        <f t="shared" si="1"/>
        <v>3999916</v>
      </c>
      <c r="AU44" s="17"/>
      <c r="AV44" s="28">
        <f t="shared" si="2"/>
        <v>41303486</v>
      </c>
      <c r="AY44" s="32" t="s">
        <v>403</v>
      </c>
      <c r="AZ44" s="3" t="str">
        <f t="shared" si="3"/>
        <v>Penta Career Center</v>
      </c>
      <c r="BA44" s="3" t="b">
        <f t="shared" si="4"/>
        <v>1</v>
      </c>
      <c r="BB44" s="20" t="str">
        <f>GovBS!A44</f>
        <v>Penta Career Center</v>
      </c>
      <c r="BC44" s="20" t="b">
        <f t="shared" si="5"/>
        <v>1</v>
      </c>
      <c r="BE44" s="20" t="str">
        <f t="shared" si="6"/>
        <v>Wood</v>
      </c>
      <c r="BF44" s="20" t="b">
        <f t="shared" si="7"/>
        <v>1</v>
      </c>
      <c r="BH44" s="20" t="b">
        <f>C44=GovBS!C44</f>
        <v>1</v>
      </c>
    </row>
    <row r="45" spans="1:60" s="16" customFormat="1">
      <c r="A45" s="3" t="s">
        <v>407</v>
      </c>
      <c r="C45" s="16" t="s">
        <v>194</v>
      </c>
      <c r="E45" s="16">
        <v>51433</v>
      </c>
      <c r="G45" s="17">
        <v>5084690</v>
      </c>
      <c r="H45" s="17"/>
      <c r="I45" s="17">
        <v>13214664</v>
      </c>
      <c r="J45" s="17"/>
      <c r="K45" s="17">
        <v>49249</v>
      </c>
      <c r="L45" s="17"/>
      <c r="M45" s="17">
        <f>1691879+1730+516548</f>
        <v>2210157</v>
      </c>
      <c r="N45" s="17"/>
      <c r="O45" s="17">
        <v>0</v>
      </c>
      <c r="P45" s="17"/>
      <c r="Q45" s="17">
        <v>594</v>
      </c>
      <c r="R45" s="17"/>
      <c r="S45" s="17">
        <v>20347</v>
      </c>
      <c r="T45" s="17"/>
      <c r="U45" s="17">
        <v>105111</v>
      </c>
      <c r="V45" s="17"/>
      <c r="W45" s="28">
        <f t="shared" si="0"/>
        <v>20684812</v>
      </c>
      <c r="X45" s="17"/>
      <c r="Y45" s="17">
        <v>373015</v>
      </c>
      <c r="Z45" s="17"/>
      <c r="AA45" s="17">
        <v>0</v>
      </c>
      <c r="AB45" s="17"/>
      <c r="AC45" s="17">
        <v>0</v>
      </c>
      <c r="AD45" s="17"/>
      <c r="AE45" s="17">
        <v>0</v>
      </c>
      <c r="AF45" s="3" t="s">
        <v>407</v>
      </c>
      <c r="AH45" s="16" t="s">
        <v>194</v>
      </c>
      <c r="AI45" s="17"/>
      <c r="AJ45" s="17">
        <v>0</v>
      </c>
      <c r="AK45" s="17"/>
      <c r="AL45" s="17">
        <v>0</v>
      </c>
      <c r="AM45" s="17"/>
      <c r="AN45" s="17"/>
      <c r="AO45" s="17"/>
      <c r="AP45" s="17">
        <v>0</v>
      </c>
      <c r="AQ45" s="17"/>
      <c r="AR45" s="17">
        <v>0</v>
      </c>
      <c r="AS45" s="17"/>
      <c r="AT45" s="28">
        <f t="shared" si="1"/>
        <v>373015</v>
      </c>
      <c r="AU45" s="17"/>
      <c r="AV45" s="28">
        <f t="shared" si="2"/>
        <v>21057827</v>
      </c>
      <c r="AY45" s="3"/>
      <c r="AZ45" s="3" t="str">
        <f t="shared" si="3"/>
        <v>Pickaway-Ross Career &amp; Tech Center</v>
      </c>
      <c r="BA45" s="3" t="b">
        <f t="shared" si="4"/>
        <v>1</v>
      </c>
      <c r="BB45" s="20" t="str">
        <f>GovBS!A45</f>
        <v>Pickaway-Ross Career &amp; Tech Center</v>
      </c>
      <c r="BC45" s="20" t="b">
        <f t="shared" si="5"/>
        <v>1</v>
      </c>
      <c r="BE45" s="20" t="str">
        <f t="shared" si="6"/>
        <v>Ross</v>
      </c>
      <c r="BF45" s="20" t="b">
        <f t="shared" si="7"/>
        <v>1</v>
      </c>
      <c r="BH45" s="20" t="b">
        <f>C45=GovBS!C45</f>
        <v>1</v>
      </c>
    </row>
    <row r="46" spans="1:60" s="16" customFormat="1">
      <c r="A46" s="3" t="s">
        <v>257</v>
      </c>
      <c r="C46" s="16" t="s">
        <v>225</v>
      </c>
      <c r="E46" s="16">
        <v>51375</v>
      </c>
      <c r="G46" s="17">
        <v>1141692</v>
      </c>
      <c r="H46" s="17"/>
      <c r="I46" s="17">
        <v>5782112</v>
      </c>
      <c r="J46" s="17"/>
      <c r="K46" s="17">
        <v>11636</v>
      </c>
      <c r="L46" s="17"/>
      <c r="M46" s="17">
        <f>702699+7634+177536</f>
        <v>887869</v>
      </c>
      <c r="N46" s="17"/>
      <c r="O46" s="17">
        <v>0</v>
      </c>
      <c r="P46" s="17"/>
      <c r="Q46" s="17">
        <v>438</v>
      </c>
      <c r="R46" s="17"/>
      <c r="S46" s="17">
        <v>4706</v>
      </c>
      <c r="T46" s="17"/>
      <c r="U46" s="17">
        <v>263435</v>
      </c>
      <c r="V46" s="17"/>
      <c r="W46" s="28">
        <f t="shared" ref="W46:W64" si="8">SUM(G46:V46)</f>
        <v>8091888</v>
      </c>
      <c r="X46" s="17"/>
      <c r="Y46" s="17">
        <v>552337</v>
      </c>
      <c r="Z46" s="17"/>
      <c r="AA46" s="17">
        <v>0</v>
      </c>
      <c r="AB46" s="17"/>
      <c r="AC46" s="17">
        <v>0</v>
      </c>
      <c r="AD46" s="17"/>
      <c r="AE46" s="17">
        <v>0</v>
      </c>
      <c r="AF46" s="3" t="s">
        <v>257</v>
      </c>
      <c r="AH46" s="16" t="s">
        <v>225</v>
      </c>
      <c r="AI46" s="17"/>
      <c r="AJ46" s="17">
        <v>0</v>
      </c>
      <c r="AK46" s="17"/>
      <c r="AL46" s="17">
        <v>0</v>
      </c>
      <c r="AM46" s="17"/>
      <c r="AN46" s="17"/>
      <c r="AO46" s="17"/>
      <c r="AP46" s="17">
        <v>0</v>
      </c>
      <c r="AQ46" s="17"/>
      <c r="AR46" s="17">
        <v>0</v>
      </c>
      <c r="AS46" s="17"/>
      <c r="AT46" s="28">
        <f t="shared" ref="AT46:AT64" si="9">SUM(Y46:AR46)</f>
        <v>552337</v>
      </c>
      <c r="AU46" s="17"/>
      <c r="AV46" s="28">
        <f t="shared" ref="AV46:AV64" si="10">+AT46+W46</f>
        <v>8644225</v>
      </c>
      <c r="AY46" s="3"/>
      <c r="AZ46" s="3" t="str">
        <f t="shared" ref="AZ46:AZ64" si="11">A46</f>
        <v>Pike County JVSD</v>
      </c>
      <c r="BA46" s="3" t="b">
        <f t="shared" ref="BA46:BA64" si="12">A46=AF46</f>
        <v>1</v>
      </c>
      <c r="BB46" s="20" t="str">
        <f>GovBS!A46</f>
        <v>Pike County JVSD</v>
      </c>
      <c r="BC46" s="20" t="b">
        <f t="shared" ref="BC46:BC64" si="13">AZ46=BB46</f>
        <v>1</v>
      </c>
      <c r="BE46" s="20" t="str">
        <f t="shared" ref="BE46:BE64" si="14">C46</f>
        <v>Pike</v>
      </c>
      <c r="BF46" s="20" t="b">
        <f t="shared" ref="BF46:BF64" si="15">C46=AH46</f>
        <v>1</v>
      </c>
      <c r="BH46" s="20" t="b">
        <f>C46=GovBS!C46</f>
        <v>1</v>
      </c>
    </row>
    <row r="47" spans="1:60" s="16" customFormat="1">
      <c r="A47" s="3" t="s">
        <v>311</v>
      </c>
      <c r="C47" s="16" t="s">
        <v>193</v>
      </c>
      <c r="E47" s="16">
        <v>51417</v>
      </c>
      <c r="G47" s="17">
        <v>4100918</v>
      </c>
      <c r="H47" s="17"/>
      <c r="I47" s="17">
        <f>129230+20055878+684712</f>
        <v>20869820</v>
      </c>
      <c r="J47" s="17"/>
      <c r="K47" s="17">
        <v>330282</v>
      </c>
      <c r="L47" s="17"/>
      <c r="M47" s="17">
        <f>295520+226894+144717+262403</f>
        <v>929534</v>
      </c>
      <c r="N47" s="17"/>
      <c r="O47" s="17">
        <v>21863</v>
      </c>
      <c r="P47" s="17"/>
      <c r="Q47" s="17">
        <v>0</v>
      </c>
      <c r="R47" s="17"/>
      <c r="S47" s="17">
        <v>5347</v>
      </c>
      <c r="T47" s="17"/>
      <c r="U47" s="17">
        <v>134955</v>
      </c>
      <c r="V47" s="17"/>
      <c r="W47" s="28">
        <f t="shared" si="8"/>
        <v>26392719</v>
      </c>
      <c r="X47" s="17"/>
      <c r="Y47" s="17">
        <v>2226100</v>
      </c>
      <c r="Z47" s="17"/>
      <c r="AA47" s="17">
        <v>0</v>
      </c>
      <c r="AB47" s="17"/>
      <c r="AC47" s="17">
        <v>0</v>
      </c>
      <c r="AD47" s="17"/>
      <c r="AE47" s="17">
        <v>0</v>
      </c>
      <c r="AF47" s="3" t="s">
        <v>311</v>
      </c>
      <c r="AH47" s="16" t="s">
        <v>193</v>
      </c>
      <c r="AI47" s="17"/>
      <c r="AJ47" s="17">
        <v>75449</v>
      </c>
      <c r="AK47" s="17"/>
      <c r="AL47" s="17">
        <v>31728</v>
      </c>
      <c r="AM47" s="17"/>
      <c r="AN47" s="17"/>
      <c r="AO47" s="17"/>
      <c r="AP47" s="17">
        <v>0</v>
      </c>
      <c r="AQ47" s="17"/>
      <c r="AR47" s="17">
        <v>0</v>
      </c>
      <c r="AS47" s="17"/>
      <c r="AT47" s="28">
        <f t="shared" si="9"/>
        <v>2333277</v>
      </c>
      <c r="AU47" s="17"/>
      <c r="AV47" s="28">
        <f t="shared" si="10"/>
        <v>28725996</v>
      </c>
      <c r="AY47" s="32"/>
      <c r="AZ47" s="3" t="str">
        <f t="shared" si="11"/>
        <v>Pioneer Career &amp; Tech Center</v>
      </c>
      <c r="BA47" s="3" t="b">
        <f t="shared" si="12"/>
        <v>1</v>
      </c>
      <c r="BB47" s="20" t="str">
        <f>GovBS!A47</f>
        <v>Pioneer Career &amp; Tech Center</v>
      </c>
      <c r="BC47" s="20" t="b">
        <f t="shared" si="13"/>
        <v>1</v>
      </c>
      <c r="BE47" s="20" t="str">
        <f t="shared" si="14"/>
        <v>Richland</v>
      </c>
      <c r="BF47" s="20" t="b">
        <f t="shared" si="15"/>
        <v>1</v>
      </c>
      <c r="BH47" s="20" t="b">
        <f>C47=GovBS!C47</f>
        <v>1</v>
      </c>
    </row>
    <row r="48" spans="1:60" s="16" customFormat="1">
      <c r="A48" s="3" t="s">
        <v>258</v>
      </c>
      <c r="C48" s="16" t="s">
        <v>160</v>
      </c>
      <c r="E48" s="16">
        <v>50948</v>
      </c>
      <c r="G48" s="17">
        <v>9285422</v>
      </c>
      <c r="H48" s="17"/>
      <c r="I48" s="17">
        <v>5378816</v>
      </c>
      <c r="J48" s="17"/>
      <c r="K48" s="17">
        <v>81637</v>
      </c>
      <c r="L48" s="17"/>
      <c r="M48" s="17">
        <f>140249+9830</f>
        <v>150079</v>
      </c>
      <c r="N48" s="17"/>
      <c r="O48" s="17">
        <v>0</v>
      </c>
      <c r="P48" s="17"/>
      <c r="Q48" s="17">
        <v>0</v>
      </c>
      <c r="R48" s="17"/>
      <c r="S48" s="17">
        <v>0</v>
      </c>
      <c r="T48" s="17"/>
      <c r="U48" s="17">
        <v>46294</v>
      </c>
      <c r="V48" s="17"/>
      <c r="W48" s="28">
        <f t="shared" si="8"/>
        <v>14942248</v>
      </c>
      <c r="X48" s="17"/>
      <c r="Y48" s="17">
        <v>0</v>
      </c>
      <c r="Z48" s="17"/>
      <c r="AA48" s="17">
        <v>0</v>
      </c>
      <c r="AB48" s="17"/>
      <c r="AC48" s="17">
        <v>0</v>
      </c>
      <c r="AD48" s="17"/>
      <c r="AE48" s="17">
        <v>0</v>
      </c>
      <c r="AF48" s="3" t="s">
        <v>258</v>
      </c>
      <c r="AH48" s="16" t="s">
        <v>160</v>
      </c>
      <c r="AI48" s="17"/>
      <c r="AJ48" s="17">
        <v>0</v>
      </c>
      <c r="AK48" s="17"/>
      <c r="AL48" s="17">
        <v>0</v>
      </c>
      <c r="AM48" s="17"/>
      <c r="AN48" s="17"/>
      <c r="AO48" s="17"/>
      <c r="AP48" s="17">
        <v>0</v>
      </c>
      <c r="AQ48" s="17"/>
      <c r="AR48" s="17">
        <v>0</v>
      </c>
      <c r="AS48" s="17"/>
      <c r="AT48" s="28">
        <f t="shared" si="9"/>
        <v>0</v>
      </c>
      <c r="AU48" s="17"/>
      <c r="AV48" s="28">
        <f t="shared" si="10"/>
        <v>14942248</v>
      </c>
      <c r="AY48" s="3"/>
      <c r="AZ48" s="3" t="str">
        <f t="shared" si="11"/>
        <v>Polaris Career Center</v>
      </c>
      <c r="BA48" s="3" t="b">
        <f t="shared" si="12"/>
        <v>1</v>
      </c>
      <c r="BB48" s="20" t="str">
        <f>GovBS!A48</f>
        <v>Polaris Career Center</v>
      </c>
      <c r="BC48" s="20" t="b">
        <f t="shared" si="13"/>
        <v>1</v>
      </c>
      <c r="BE48" s="20" t="str">
        <f t="shared" si="14"/>
        <v>Cuyahoga</v>
      </c>
      <c r="BF48" s="20" t="b">
        <f t="shared" si="15"/>
        <v>1</v>
      </c>
      <c r="BH48" s="20" t="b">
        <f>C48=GovBS!C48</f>
        <v>1</v>
      </c>
    </row>
    <row r="49" spans="1:60" s="16" customFormat="1">
      <c r="A49" s="3" t="s">
        <v>259</v>
      </c>
      <c r="C49" s="16" t="s">
        <v>200</v>
      </c>
      <c r="E49" s="16">
        <v>63495</v>
      </c>
      <c r="G49" s="17">
        <v>3001087</v>
      </c>
      <c r="H49" s="17"/>
      <c r="I49" s="17">
        <v>3618117</v>
      </c>
      <c r="J49" s="17"/>
      <c r="K49" s="17">
        <v>33861</v>
      </c>
      <c r="L49" s="17"/>
      <c r="M49" s="17">
        <f>1404187+33535</f>
        <v>1437722</v>
      </c>
      <c r="N49" s="17"/>
      <c r="O49" s="17">
        <v>7639</v>
      </c>
      <c r="P49" s="17"/>
      <c r="Q49" s="17">
        <v>0</v>
      </c>
      <c r="R49" s="17"/>
      <c r="S49" s="17">
        <v>0</v>
      </c>
      <c r="T49" s="17"/>
      <c r="U49" s="17">
        <v>33163</v>
      </c>
      <c r="V49" s="17"/>
      <c r="W49" s="28">
        <f t="shared" si="8"/>
        <v>8131589</v>
      </c>
      <c r="X49" s="17"/>
      <c r="Y49" s="17">
        <v>33333</v>
      </c>
      <c r="Z49" s="17"/>
      <c r="AA49" s="17">
        <v>0</v>
      </c>
      <c r="AB49" s="17"/>
      <c r="AC49" s="17">
        <v>0</v>
      </c>
      <c r="AD49" s="17"/>
      <c r="AE49" s="17">
        <v>0</v>
      </c>
      <c r="AF49" s="3" t="s">
        <v>259</v>
      </c>
      <c r="AH49" s="16" t="s">
        <v>200</v>
      </c>
      <c r="AI49" s="17"/>
      <c r="AJ49" s="17">
        <v>0</v>
      </c>
      <c r="AK49" s="17"/>
      <c r="AL49" s="17">
        <v>0</v>
      </c>
      <c r="AM49" s="17"/>
      <c r="AN49" s="17"/>
      <c r="AO49" s="17"/>
      <c r="AP49" s="17">
        <v>0</v>
      </c>
      <c r="AQ49" s="17"/>
      <c r="AR49" s="17">
        <v>0</v>
      </c>
      <c r="AS49" s="17"/>
      <c r="AT49" s="28">
        <f t="shared" si="9"/>
        <v>33333</v>
      </c>
      <c r="AU49" s="17"/>
      <c r="AV49" s="28">
        <f t="shared" si="10"/>
        <v>8164922</v>
      </c>
      <c r="AY49" s="3"/>
      <c r="AZ49" s="3" t="str">
        <f t="shared" si="11"/>
        <v>Portage Lakes Career Center</v>
      </c>
      <c r="BA49" s="3" t="b">
        <f t="shared" si="12"/>
        <v>1</v>
      </c>
      <c r="BB49" s="20" t="str">
        <f>GovBS!A49</f>
        <v>Portage Lakes Career Center</v>
      </c>
      <c r="BC49" s="20" t="b">
        <f t="shared" si="13"/>
        <v>1</v>
      </c>
      <c r="BE49" s="20" t="str">
        <f t="shared" si="14"/>
        <v>Summit</v>
      </c>
      <c r="BF49" s="20" t="b">
        <f t="shared" si="15"/>
        <v>1</v>
      </c>
      <c r="BH49" s="20" t="b">
        <f>C49=GovBS!C49</f>
        <v>1</v>
      </c>
    </row>
    <row r="50" spans="1:60" s="16" customFormat="1">
      <c r="A50" s="3" t="s">
        <v>260</v>
      </c>
      <c r="C50" s="16" t="s">
        <v>196</v>
      </c>
      <c r="E50" s="16">
        <v>51490</v>
      </c>
      <c r="G50" s="17">
        <v>2293715</v>
      </c>
      <c r="H50" s="17"/>
      <c r="I50" s="17">
        <v>5985855</v>
      </c>
      <c r="J50" s="17"/>
      <c r="K50" s="17">
        <v>72635</v>
      </c>
      <c r="L50" s="17"/>
      <c r="M50" s="17">
        <v>1666061</v>
      </c>
      <c r="N50" s="17"/>
      <c r="O50" s="17">
        <v>6011</v>
      </c>
      <c r="P50" s="17"/>
      <c r="Q50" s="17">
        <v>0</v>
      </c>
      <c r="R50" s="17"/>
      <c r="S50" s="17">
        <v>1300</v>
      </c>
      <c r="T50" s="17"/>
      <c r="U50" s="17">
        <f>116272+26151+80937</f>
        <v>223360</v>
      </c>
      <c r="V50" s="17"/>
      <c r="W50" s="28">
        <f t="shared" si="8"/>
        <v>10248937</v>
      </c>
      <c r="X50" s="17"/>
      <c r="Y50" s="17">
        <v>366334</v>
      </c>
      <c r="Z50" s="17"/>
      <c r="AA50" s="17">
        <v>0</v>
      </c>
      <c r="AB50" s="17"/>
      <c r="AC50" s="17">
        <v>0</v>
      </c>
      <c r="AD50" s="17"/>
      <c r="AE50" s="17">
        <v>0</v>
      </c>
      <c r="AF50" s="3" t="s">
        <v>260</v>
      </c>
      <c r="AH50" s="16" t="s">
        <v>196</v>
      </c>
      <c r="AI50" s="17"/>
      <c r="AJ50" s="17">
        <v>0</v>
      </c>
      <c r="AK50" s="17"/>
      <c r="AL50" s="17">
        <v>23908</v>
      </c>
      <c r="AM50" s="17"/>
      <c r="AN50" s="17">
        <v>0</v>
      </c>
      <c r="AO50" s="17"/>
      <c r="AP50" s="17">
        <v>0</v>
      </c>
      <c r="AQ50" s="17"/>
      <c r="AR50" s="17">
        <v>0</v>
      </c>
      <c r="AS50" s="17"/>
      <c r="AT50" s="28">
        <f t="shared" si="9"/>
        <v>390242</v>
      </c>
      <c r="AU50" s="17"/>
      <c r="AV50" s="28">
        <f t="shared" si="10"/>
        <v>10639179</v>
      </c>
      <c r="AY50" s="3"/>
      <c r="AZ50" s="3" t="str">
        <f t="shared" si="11"/>
        <v>Scioto County JVSD</v>
      </c>
      <c r="BA50" s="3" t="b">
        <f t="shared" si="12"/>
        <v>1</v>
      </c>
      <c r="BB50" s="20" t="str">
        <f>GovBS!A50</f>
        <v>Scioto County JVSD</v>
      </c>
      <c r="BC50" s="20" t="b">
        <f t="shared" si="13"/>
        <v>1</v>
      </c>
      <c r="BE50" s="20" t="str">
        <f t="shared" si="14"/>
        <v>Scioto</v>
      </c>
      <c r="BF50" s="20" t="b">
        <f t="shared" si="15"/>
        <v>1</v>
      </c>
      <c r="BH50" s="20" t="b">
        <f>C50=GovBS!C50</f>
        <v>1</v>
      </c>
    </row>
    <row r="51" spans="1:60" s="16" customFormat="1">
      <c r="A51" s="3" t="s">
        <v>211</v>
      </c>
      <c r="C51" s="16" t="s">
        <v>153</v>
      </c>
      <c r="E51" s="16">
        <v>50799</v>
      </c>
      <c r="G51" s="17">
        <v>2313887</v>
      </c>
      <c r="H51" s="17"/>
      <c r="I51" s="17">
        <v>4188961</v>
      </c>
      <c r="J51" s="17"/>
      <c r="K51" s="17">
        <v>144960</v>
      </c>
      <c r="L51" s="17"/>
      <c r="M51" s="17">
        <v>134985</v>
      </c>
      <c r="N51" s="17"/>
      <c r="O51" s="17">
        <v>0</v>
      </c>
      <c r="P51" s="17"/>
      <c r="Q51" s="17">
        <v>0</v>
      </c>
      <c r="R51" s="17"/>
      <c r="S51" s="17">
        <v>54</v>
      </c>
      <c r="T51" s="17"/>
      <c r="U51" s="17">
        <f>3766+137662+899</f>
        <v>142327</v>
      </c>
      <c r="V51" s="17"/>
      <c r="W51" s="28">
        <f t="shared" si="8"/>
        <v>6925174</v>
      </c>
      <c r="X51" s="17"/>
      <c r="Y51" s="17">
        <v>120000</v>
      </c>
      <c r="Z51" s="17"/>
      <c r="AA51" s="17">
        <v>0</v>
      </c>
      <c r="AB51" s="17"/>
      <c r="AC51" s="17">
        <v>0</v>
      </c>
      <c r="AD51" s="17"/>
      <c r="AE51" s="17">
        <v>0</v>
      </c>
      <c r="AF51" s="3" t="s">
        <v>211</v>
      </c>
      <c r="AH51" s="16" t="s">
        <v>153</v>
      </c>
      <c r="AI51" s="17"/>
      <c r="AJ51" s="17">
        <v>0</v>
      </c>
      <c r="AK51" s="17"/>
      <c r="AL51" s="17">
        <v>17104</v>
      </c>
      <c r="AM51" s="17"/>
      <c r="AN51" s="17">
        <v>0</v>
      </c>
      <c r="AO51" s="17"/>
      <c r="AP51" s="17">
        <v>0</v>
      </c>
      <c r="AQ51" s="17"/>
      <c r="AR51" s="17">
        <v>0</v>
      </c>
      <c r="AS51" s="17"/>
      <c r="AT51" s="28">
        <f t="shared" si="9"/>
        <v>137104</v>
      </c>
      <c r="AU51" s="17"/>
      <c r="AV51" s="28">
        <f t="shared" si="10"/>
        <v>7062278</v>
      </c>
      <c r="AY51" s="3"/>
      <c r="AZ51" s="3" t="str">
        <f t="shared" si="11"/>
        <v>Southern Hills JVSD</v>
      </c>
      <c r="BA51" s="3" t="b">
        <f t="shared" si="12"/>
        <v>1</v>
      </c>
      <c r="BB51" s="20" t="str">
        <f>GovBS!A51</f>
        <v>Southern Hills JVSD</v>
      </c>
      <c r="BC51" s="20" t="b">
        <f t="shared" si="13"/>
        <v>1</v>
      </c>
      <c r="BE51" s="20" t="str">
        <f t="shared" si="14"/>
        <v>Brown</v>
      </c>
      <c r="BF51" s="20" t="b">
        <f t="shared" si="15"/>
        <v>1</v>
      </c>
      <c r="BH51" s="20" t="b">
        <f>C51=GovBS!C51</f>
        <v>1</v>
      </c>
    </row>
    <row r="52" spans="1:60" s="16" customFormat="1">
      <c r="A52" s="3" t="s">
        <v>286</v>
      </c>
      <c r="C52" s="16" t="s">
        <v>155</v>
      </c>
      <c r="E52" s="16">
        <v>51532</v>
      </c>
      <c r="G52" s="17">
        <v>4865492</v>
      </c>
      <c r="H52" s="17"/>
      <c r="I52" s="17">
        <v>7481507</v>
      </c>
      <c r="J52" s="17"/>
      <c r="K52" s="17">
        <v>21289</v>
      </c>
      <c r="L52" s="17"/>
      <c r="M52" s="17">
        <v>43286</v>
      </c>
      <c r="N52" s="17"/>
      <c r="O52" s="17">
        <v>0</v>
      </c>
      <c r="P52" s="17"/>
      <c r="Q52" s="17">
        <v>0</v>
      </c>
      <c r="R52" s="17"/>
      <c r="S52" s="17">
        <v>17972</v>
      </c>
      <c r="T52" s="17"/>
      <c r="U52" s="17">
        <f>22158+176421</f>
        <v>198579</v>
      </c>
      <c r="V52" s="17"/>
      <c r="W52" s="28">
        <f t="shared" si="8"/>
        <v>12628125</v>
      </c>
      <c r="X52" s="17"/>
      <c r="Y52" s="17">
        <v>1636</v>
      </c>
      <c r="Z52" s="17"/>
      <c r="AA52" s="17">
        <v>0</v>
      </c>
      <c r="AB52" s="17"/>
      <c r="AC52" s="17">
        <v>0</v>
      </c>
      <c r="AD52" s="17"/>
      <c r="AE52" s="17">
        <v>0</v>
      </c>
      <c r="AF52" s="3" t="s">
        <v>286</v>
      </c>
      <c r="AH52" s="16" t="s">
        <v>155</v>
      </c>
      <c r="AI52" s="17"/>
      <c r="AJ52" s="17">
        <v>0</v>
      </c>
      <c r="AK52" s="17"/>
      <c r="AL52" s="17">
        <v>6548</v>
      </c>
      <c r="AM52" s="17"/>
      <c r="AN52" s="17">
        <v>0</v>
      </c>
      <c r="AO52" s="17"/>
      <c r="AP52" s="17">
        <v>0</v>
      </c>
      <c r="AQ52" s="17"/>
      <c r="AR52" s="17">
        <v>0</v>
      </c>
      <c r="AS52" s="17"/>
      <c r="AT52" s="28">
        <f t="shared" si="9"/>
        <v>8184</v>
      </c>
      <c r="AU52" s="17"/>
      <c r="AV52" s="28">
        <f t="shared" si="10"/>
        <v>12636309</v>
      </c>
      <c r="AY52" s="32"/>
      <c r="AZ52" s="3" t="str">
        <f t="shared" si="11"/>
        <v>Springfield-Clark Co Career Tech Center</v>
      </c>
      <c r="BA52" s="3" t="b">
        <f t="shared" si="12"/>
        <v>1</v>
      </c>
      <c r="BB52" s="20" t="str">
        <f>GovBS!A52</f>
        <v>Springfield-Clark Co Career Tech Center</v>
      </c>
      <c r="BC52" s="20" t="b">
        <f t="shared" si="13"/>
        <v>1</v>
      </c>
      <c r="BE52" s="20" t="str">
        <f t="shared" si="14"/>
        <v>Clark</v>
      </c>
      <c r="BF52" s="20" t="b">
        <f t="shared" si="15"/>
        <v>1</v>
      </c>
      <c r="BH52" s="20" t="b">
        <f>C52=GovBS!C52</f>
        <v>1</v>
      </c>
    </row>
    <row r="53" spans="1:60" s="16" customFormat="1">
      <c r="A53" s="3" t="s">
        <v>226</v>
      </c>
      <c r="C53" s="16" t="s">
        <v>199</v>
      </c>
      <c r="E53" s="16">
        <v>62026</v>
      </c>
      <c r="G53" s="17">
        <v>2559282</v>
      </c>
      <c r="H53" s="17"/>
      <c r="I53" s="17">
        <f>2556+5017138+336596</f>
        <v>5356290</v>
      </c>
      <c r="J53" s="17"/>
      <c r="K53" s="17">
        <v>132737</v>
      </c>
      <c r="L53" s="17"/>
      <c r="M53" s="17">
        <v>45694</v>
      </c>
      <c r="N53" s="17"/>
      <c r="O53" s="17">
        <v>0</v>
      </c>
      <c r="P53" s="17"/>
      <c r="Q53" s="17">
        <v>0</v>
      </c>
      <c r="R53" s="17"/>
      <c r="S53" s="17">
        <v>0</v>
      </c>
      <c r="T53" s="17"/>
      <c r="U53" s="17">
        <f>128769+241211</f>
        <v>369980</v>
      </c>
      <c r="V53" s="17"/>
      <c r="W53" s="28">
        <f t="shared" si="8"/>
        <v>8463983</v>
      </c>
      <c r="X53" s="17"/>
      <c r="Y53" s="17">
        <v>0</v>
      </c>
      <c r="Z53" s="17"/>
      <c r="AA53" s="17">
        <v>0</v>
      </c>
      <c r="AB53" s="17"/>
      <c r="AC53" s="17">
        <v>0</v>
      </c>
      <c r="AD53" s="17"/>
      <c r="AE53" s="17">
        <v>0</v>
      </c>
      <c r="AF53" s="3" t="s">
        <v>226</v>
      </c>
      <c r="AH53" s="16" t="s">
        <v>199</v>
      </c>
      <c r="AI53" s="17"/>
      <c r="AJ53" s="17">
        <v>0</v>
      </c>
      <c r="AK53" s="17"/>
      <c r="AL53" s="17">
        <v>0</v>
      </c>
      <c r="AM53" s="17"/>
      <c r="AN53" s="17">
        <v>0</v>
      </c>
      <c r="AO53" s="17"/>
      <c r="AP53" s="17">
        <v>0</v>
      </c>
      <c r="AQ53" s="17"/>
      <c r="AR53" s="3">
        <v>0</v>
      </c>
      <c r="AS53" s="17"/>
      <c r="AT53" s="28">
        <f t="shared" si="9"/>
        <v>0</v>
      </c>
      <c r="AU53" s="17"/>
      <c r="AV53" s="28">
        <f t="shared" si="10"/>
        <v>8463983</v>
      </c>
      <c r="AY53" s="3"/>
      <c r="AZ53" s="3" t="str">
        <f t="shared" si="11"/>
        <v>Stark County Area JVSD</v>
      </c>
      <c r="BA53" s="3" t="b">
        <f t="shared" si="12"/>
        <v>1</v>
      </c>
      <c r="BB53" s="20" t="str">
        <f>GovBS!A53</f>
        <v>Stark County Area JVSD</v>
      </c>
      <c r="BC53" s="20" t="b">
        <f t="shared" si="13"/>
        <v>1</v>
      </c>
      <c r="BE53" s="20" t="str">
        <f t="shared" si="14"/>
        <v>Stark</v>
      </c>
      <c r="BF53" s="20" t="b">
        <f t="shared" si="15"/>
        <v>1</v>
      </c>
      <c r="BH53" s="20" t="b">
        <f>C53=GovBS!C53</f>
        <v>1</v>
      </c>
    </row>
    <row r="54" spans="1:60" s="16" customFormat="1">
      <c r="A54" s="3" t="s">
        <v>290</v>
      </c>
      <c r="C54" s="16" t="s">
        <v>220</v>
      </c>
      <c r="G54" s="17">
        <v>7624134</v>
      </c>
      <c r="H54" s="17"/>
      <c r="I54" s="17">
        <v>4165060</v>
      </c>
      <c r="J54" s="17"/>
      <c r="K54" s="17">
        <v>70559</v>
      </c>
      <c r="L54" s="17"/>
      <c r="M54" s="17">
        <v>413036</v>
      </c>
      <c r="N54" s="17"/>
      <c r="O54" s="17">
        <v>0</v>
      </c>
      <c r="P54" s="17"/>
      <c r="Q54" s="17">
        <v>0</v>
      </c>
      <c r="R54" s="17"/>
      <c r="S54" s="17">
        <v>0</v>
      </c>
      <c r="T54" s="17"/>
      <c r="U54" s="17">
        <f>195590+250580</f>
        <v>446170</v>
      </c>
      <c r="V54" s="17"/>
      <c r="W54" s="28">
        <f t="shared" si="8"/>
        <v>12718959</v>
      </c>
      <c r="X54" s="17"/>
      <c r="Y54" s="17">
        <v>899875</v>
      </c>
      <c r="Z54" s="17"/>
      <c r="AA54" s="17">
        <v>0</v>
      </c>
      <c r="AB54" s="17"/>
      <c r="AC54" s="17">
        <v>0</v>
      </c>
      <c r="AD54" s="17"/>
      <c r="AE54" s="17">
        <v>0</v>
      </c>
      <c r="AF54" s="3" t="s">
        <v>290</v>
      </c>
      <c r="AH54" s="16" t="s">
        <v>220</v>
      </c>
      <c r="AI54" s="17"/>
      <c r="AJ54" s="17">
        <v>0</v>
      </c>
      <c r="AK54" s="17"/>
      <c r="AL54" s="17">
        <v>0</v>
      </c>
      <c r="AM54" s="17"/>
      <c r="AN54" s="17">
        <v>0</v>
      </c>
      <c r="AO54" s="17"/>
      <c r="AP54" s="17">
        <v>0</v>
      </c>
      <c r="AQ54" s="17"/>
      <c r="AR54" s="17">
        <v>0</v>
      </c>
      <c r="AS54" s="17"/>
      <c r="AT54" s="28">
        <f t="shared" si="9"/>
        <v>899875</v>
      </c>
      <c r="AU54" s="17"/>
      <c r="AV54" s="28">
        <f t="shared" si="10"/>
        <v>13618834</v>
      </c>
      <c r="AY54" s="3"/>
      <c r="AZ54" s="3" t="str">
        <f t="shared" si="11"/>
        <v>Tolles Career and Technical Center</v>
      </c>
      <c r="BA54" s="3" t="b">
        <f t="shared" si="12"/>
        <v>1</v>
      </c>
      <c r="BB54" s="20" t="str">
        <f>GovBS!A54</f>
        <v>Tolles Career and Technical Center</v>
      </c>
      <c r="BC54" s="20" t="b">
        <f t="shared" si="13"/>
        <v>1</v>
      </c>
      <c r="BE54" s="20" t="str">
        <f t="shared" si="14"/>
        <v>Madison</v>
      </c>
      <c r="BF54" s="20" t="b">
        <f t="shared" si="15"/>
        <v>1</v>
      </c>
      <c r="BH54" s="20" t="b">
        <f>C54=GovBS!C54</f>
        <v>1</v>
      </c>
    </row>
    <row r="55" spans="1:60" s="16" customFormat="1">
      <c r="A55" s="3" t="s">
        <v>312</v>
      </c>
      <c r="C55" s="16" t="s">
        <v>148</v>
      </c>
      <c r="E55" s="16">
        <v>51607</v>
      </c>
      <c r="G55" s="17">
        <v>3228277</v>
      </c>
      <c r="H55" s="17"/>
      <c r="I55" s="17">
        <v>5175733</v>
      </c>
      <c r="J55" s="17"/>
      <c r="K55" s="17">
        <v>89284</v>
      </c>
      <c r="L55" s="17"/>
      <c r="M55" s="17">
        <v>0</v>
      </c>
      <c r="N55" s="17"/>
      <c r="O55" s="17">
        <v>0</v>
      </c>
      <c r="P55" s="17"/>
      <c r="Q55" s="17">
        <v>0</v>
      </c>
      <c r="R55" s="17"/>
      <c r="S55" s="17">
        <v>0</v>
      </c>
      <c r="T55" s="17"/>
      <c r="U55" s="17">
        <f>41096+46242</f>
        <v>87338</v>
      </c>
      <c r="V55" s="17"/>
      <c r="W55" s="28">
        <f t="shared" si="8"/>
        <v>8580632</v>
      </c>
      <c r="X55" s="17"/>
      <c r="Y55" s="17">
        <v>200000</v>
      </c>
      <c r="Z55" s="17"/>
      <c r="AA55" s="17">
        <v>0</v>
      </c>
      <c r="AB55" s="17"/>
      <c r="AC55" s="17">
        <v>0</v>
      </c>
      <c r="AD55" s="17"/>
      <c r="AE55" s="17">
        <v>0</v>
      </c>
      <c r="AF55" s="3" t="s">
        <v>312</v>
      </c>
      <c r="AH55" s="16" t="s">
        <v>148</v>
      </c>
      <c r="AI55" s="17"/>
      <c r="AJ55" s="17">
        <v>0</v>
      </c>
      <c r="AK55" s="17"/>
      <c r="AL55" s="17">
        <v>0</v>
      </c>
      <c r="AM55" s="17"/>
      <c r="AN55" s="17">
        <v>0</v>
      </c>
      <c r="AO55" s="17"/>
      <c r="AP55" s="17">
        <v>70950</v>
      </c>
      <c r="AQ55" s="17"/>
      <c r="AR55" s="17">
        <v>0</v>
      </c>
      <c r="AS55" s="17"/>
      <c r="AT55" s="28">
        <f t="shared" si="9"/>
        <v>270950</v>
      </c>
      <c r="AU55" s="17"/>
      <c r="AV55" s="28">
        <f t="shared" si="10"/>
        <v>8851582</v>
      </c>
      <c r="AY55" s="3"/>
      <c r="AZ55" s="3" t="str">
        <f t="shared" si="11"/>
        <v>Tri County Career Center</v>
      </c>
      <c r="BA55" s="3" t="b">
        <f t="shared" si="12"/>
        <v>1</v>
      </c>
      <c r="BB55" s="20" t="str">
        <f>GovBS!A55</f>
        <v>Tri County Career Center</v>
      </c>
      <c r="BC55" s="20" t="b">
        <f t="shared" si="13"/>
        <v>1</v>
      </c>
      <c r="BE55" s="20" t="str">
        <f t="shared" si="14"/>
        <v>Athens</v>
      </c>
      <c r="BF55" s="20" t="b">
        <f t="shared" si="15"/>
        <v>1</v>
      </c>
      <c r="BH55" s="20" t="b">
        <f>C55=GovBS!C55</f>
        <v>1</v>
      </c>
    </row>
    <row r="56" spans="1:60" s="16" customFormat="1">
      <c r="A56" s="3" t="s">
        <v>221</v>
      </c>
      <c r="C56" s="16" t="s">
        <v>222</v>
      </c>
      <c r="E56" s="16">
        <v>65268</v>
      </c>
      <c r="G56" s="17">
        <v>3677207</v>
      </c>
      <c r="H56" s="17"/>
      <c r="I56" s="17">
        <v>7524759</v>
      </c>
      <c r="J56" s="17"/>
      <c r="K56" s="17">
        <v>4443</v>
      </c>
      <c r="L56" s="17"/>
      <c r="M56" s="17">
        <v>70</v>
      </c>
      <c r="N56" s="17"/>
      <c r="O56" s="17">
        <v>0</v>
      </c>
      <c r="P56" s="17"/>
      <c r="Q56" s="17">
        <v>9490</v>
      </c>
      <c r="R56" s="17"/>
      <c r="S56" s="17">
        <v>1400</v>
      </c>
      <c r="T56" s="17"/>
      <c r="U56" s="17">
        <f>22998+150575</f>
        <v>173573</v>
      </c>
      <c r="V56" s="17"/>
      <c r="W56" s="28">
        <f t="shared" si="8"/>
        <v>11390942</v>
      </c>
      <c r="X56" s="17"/>
      <c r="Y56" s="17">
        <v>36288</v>
      </c>
      <c r="Z56" s="17"/>
      <c r="AA56" s="17">
        <v>0</v>
      </c>
      <c r="AB56" s="17"/>
      <c r="AC56" s="17">
        <v>0</v>
      </c>
      <c r="AD56" s="17"/>
      <c r="AE56" s="17">
        <v>0</v>
      </c>
      <c r="AF56" s="3" t="s">
        <v>221</v>
      </c>
      <c r="AH56" s="16" t="s">
        <v>222</v>
      </c>
      <c r="AI56" s="17"/>
      <c r="AJ56" s="17">
        <v>25000</v>
      </c>
      <c r="AK56" s="17"/>
      <c r="AL56" s="17">
        <v>0</v>
      </c>
      <c r="AM56" s="17"/>
      <c r="AN56" s="17">
        <v>0</v>
      </c>
      <c r="AO56" s="17"/>
      <c r="AP56" s="17">
        <v>0</v>
      </c>
      <c r="AQ56" s="17"/>
      <c r="AR56" s="17">
        <v>0</v>
      </c>
      <c r="AS56" s="17"/>
      <c r="AT56" s="28">
        <f t="shared" si="9"/>
        <v>61288</v>
      </c>
      <c r="AU56" s="17"/>
      <c r="AV56" s="28">
        <f t="shared" si="10"/>
        <v>11452230</v>
      </c>
      <c r="AY56" s="3"/>
      <c r="AZ56" s="3" t="str">
        <f t="shared" si="11"/>
        <v>Tri-Rivers JVSD</v>
      </c>
      <c r="BA56" s="3" t="b">
        <f t="shared" si="12"/>
        <v>1</v>
      </c>
      <c r="BB56" s="20" t="str">
        <f>GovBS!A56</f>
        <v>Tri-Rivers JVSD</v>
      </c>
      <c r="BC56" s="20" t="b">
        <f t="shared" si="13"/>
        <v>1</v>
      </c>
      <c r="BE56" s="20" t="str">
        <f t="shared" si="14"/>
        <v>Marion</v>
      </c>
      <c r="BF56" s="20" t="b">
        <f t="shared" si="15"/>
        <v>1</v>
      </c>
      <c r="BH56" s="20" t="b">
        <f>C56=GovBS!C56</f>
        <v>1</v>
      </c>
    </row>
    <row r="57" spans="1:60" s="16" customFormat="1">
      <c r="A57" s="3" t="s">
        <v>313</v>
      </c>
      <c r="C57" s="16" t="s">
        <v>201</v>
      </c>
      <c r="E57" s="16">
        <v>51631</v>
      </c>
      <c r="G57" s="17">
        <v>4801158</v>
      </c>
      <c r="H57" s="17"/>
      <c r="I57" s="17">
        <f>4029+7757429+1263240</f>
        <v>9024698</v>
      </c>
      <c r="J57" s="17"/>
      <c r="K57" s="17">
        <v>146754</v>
      </c>
      <c r="L57" s="17"/>
      <c r="M57" s="17">
        <v>81623</v>
      </c>
      <c r="N57" s="17"/>
      <c r="O57" s="17">
        <v>23980</v>
      </c>
      <c r="P57" s="17"/>
      <c r="Q57" s="17">
        <v>0</v>
      </c>
      <c r="R57" s="17"/>
      <c r="S57" s="17">
        <v>530</v>
      </c>
      <c r="T57" s="17"/>
      <c r="U57" s="17">
        <f>231940+188135+118640+18929</f>
        <v>557644</v>
      </c>
      <c r="V57" s="17"/>
      <c r="W57" s="28">
        <f t="shared" si="8"/>
        <v>14636387</v>
      </c>
      <c r="X57" s="17"/>
      <c r="Y57" s="17">
        <v>386500</v>
      </c>
      <c r="Z57" s="17"/>
      <c r="AA57" s="17">
        <v>0</v>
      </c>
      <c r="AB57" s="17"/>
      <c r="AC57" s="17">
        <v>0</v>
      </c>
      <c r="AD57" s="17"/>
      <c r="AE57" s="17">
        <v>0</v>
      </c>
      <c r="AF57" s="3" t="s">
        <v>313</v>
      </c>
      <c r="AH57" s="16" t="s">
        <v>201</v>
      </c>
      <c r="AI57" s="17"/>
      <c r="AJ57" s="17">
        <v>0</v>
      </c>
      <c r="AK57" s="17"/>
      <c r="AL57" s="17">
        <v>0</v>
      </c>
      <c r="AM57" s="17"/>
      <c r="AN57" s="17">
        <v>0</v>
      </c>
      <c r="AO57" s="17"/>
      <c r="AP57" s="17">
        <v>0</v>
      </c>
      <c r="AQ57" s="17"/>
      <c r="AR57" s="3">
        <v>0</v>
      </c>
      <c r="AS57" s="17"/>
      <c r="AT57" s="28">
        <f t="shared" si="9"/>
        <v>386500</v>
      </c>
      <c r="AU57" s="17"/>
      <c r="AV57" s="28">
        <f t="shared" si="10"/>
        <v>15022887</v>
      </c>
      <c r="AY57" s="3"/>
      <c r="AZ57" s="3" t="str">
        <f t="shared" si="11"/>
        <v>Trumbull Career &amp; Tech Center</v>
      </c>
      <c r="BA57" s="3" t="b">
        <f t="shared" si="12"/>
        <v>1</v>
      </c>
      <c r="BB57" s="20" t="str">
        <f>GovBS!A57</f>
        <v>Trumbull Career &amp; Tech Center</v>
      </c>
      <c r="BC57" s="20" t="b">
        <f t="shared" si="13"/>
        <v>1</v>
      </c>
      <c r="BE57" s="20" t="str">
        <f t="shared" si="14"/>
        <v>Trumbull</v>
      </c>
      <c r="BF57" s="20" t="b">
        <f t="shared" si="15"/>
        <v>1</v>
      </c>
      <c r="BH57" s="20" t="b">
        <f>C57=GovBS!C57</f>
        <v>1</v>
      </c>
    </row>
    <row r="58" spans="1:60" s="16" customFormat="1">
      <c r="A58" s="3" t="s">
        <v>212</v>
      </c>
      <c r="C58" s="16" t="s">
        <v>157</v>
      </c>
      <c r="E58" s="16">
        <v>62802</v>
      </c>
      <c r="G58" s="17">
        <v>3703818</v>
      </c>
      <c r="H58" s="17"/>
      <c r="I58" s="17">
        <v>4222208</v>
      </c>
      <c r="J58" s="17"/>
      <c r="K58" s="17">
        <v>210571</v>
      </c>
      <c r="L58" s="17"/>
      <c r="M58" s="17">
        <v>127224</v>
      </c>
      <c r="N58" s="17"/>
      <c r="O58" s="17">
        <v>0</v>
      </c>
      <c r="P58" s="17"/>
      <c r="Q58" s="17">
        <v>0</v>
      </c>
      <c r="R58" s="17"/>
      <c r="S58" s="17">
        <v>0</v>
      </c>
      <c r="T58" s="17"/>
      <c r="U58" s="17">
        <f>78151+168080</f>
        <v>246231</v>
      </c>
      <c r="V58" s="17"/>
      <c r="W58" s="28">
        <f t="shared" si="8"/>
        <v>8510052</v>
      </c>
      <c r="X58" s="17"/>
      <c r="Y58" s="17">
        <v>75000</v>
      </c>
      <c r="Z58" s="17"/>
      <c r="AA58" s="17">
        <v>0</v>
      </c>
      <c r="AB58" s="17"/>
      <c r="AC58" s="17">
        <v>0</v>
      </c>
      <c r="AD58" s="17"/>
      <c r="AE58" s="17">
        <v>0</v>
      </c>
      <c r="AF58" s="3" t="s">
        <v>212</v>
      </c>
      <c r="AH58" s="16" t="s">
        <v>157</v>
      </c>
      <c r="AI58" s="17"/>
      <c r="AJ58" s="17">
        <v>0</v>
      </c>
      <c r="AK58" s="17"/>
      <c r="AL58" s="17">
        <v>875</v>
      </c>
      <c r="AM58" s="17"/>
      <c r="AN58" s="17">
        <v>0</v>
      </c>
      <c r="AO58" s="17"/>
      <c r="AP58" s="17">
        <v>0</v>
      </c>
      <c r="AQ58" s="17"/>
      <c r="AR58" s="17">
        <v>0</v>
      </c>
      <c r="AS58" s="17"/>
      <c r="AT58" s="28">
        <f t="shared" si="9"/>
        <v>75875</v>
      </c>
      <c r="AU58" s="17"/>
      <c r="AV58" s="28">
        <f t="shared" si="10"/>
        <v>8585927</v>
      </c>
      <c r="AY58" s="3"/>
      <c r="AZ58" s="3" t="str">
        <f t="shared" si="11"/>
        <v>U S Grant JVSD</v>
      </c>
      <c r="BA58" s="3" t="b">
        <f t="shared" si="12"/>
        <v>1</v>
      </c>
      <c r="BB58" s="20" t="str">
        <f>GovBS!A58</f>
        <v>U S Grant JVSD</v>
      </c>
      <c r="BC58" s="20" t="b">
        <f t="shared" si="13"/>
        <v>1</v>
      </c>
      <c r="BE58" s="20" t="str">
        <f t="shared" si="14"/>
        <v>Clermont</v>
      </c>
      <c r="BF58" s="20" t="b">
        <f t="shared" si="15"/>
        <v>1</v>
      </c>
      <c r="BH58" s="20" t="b">
        <f>C58=GovBS!C58</f>
        <v>1</v>
      </c>
    </row>
    <row r="59" spans="1:60" s="16" customFormat="1">
      <c r="A59" s="3" t="s">
        <v>224</v>
      </c>
      <c r="C59" s="16" t="s">
        <v>183</v>
      </c>
      <c r="E59" s="16">
        <v>62125</v>
      </c>
      <c r="G59" s="17">
        <v>5923771</v>
      </c>
      <c r="H59" s="17"/>
      <c r="I59" s="17">
        <v>19151686</v>
      </c>
      <c r="J59" s="17"/>
      <c r="K59" s="17">
        <v>134815</v>
      </c>
      <c r="L59" s="17"/>
      <c r="M59" s="17">
        <v>1543277</v>
      </c>
      <c r="N59" s="17"/>
      <c r="O59" s="17">
        <v>0</v>
      </c>
      <c r="P59" s="17"/>
      <c r="Q59" s="17">
        <v>0</v>
      </c>
      <c r="R59" s="17"/>
      <c r="S59" s="17">
        <v>56054</v>
      </c>
      <c r="T59" s="17"/>
      <c r="U59" s="17">
        <f>61709+2334+312853</f>
        <v>376896</v>
      </c>
      <c r="V59" s="17"/>
      <c r="W59" s="28">
        <f t="shared" si="8"/>
        <v>27186499</v>
      </c>
      <c r="X59" s="17"/>
      <c r="Y59" s="17">
        <v>438500</v>
      </c>
      <c r="Z59" s="17"/>
      <c r="AA59" s="17">
        <v>0</v>
      </c>
      <c r="AB59" s="17"/>
      <c r="AC59" s="17">
        <v>0</v>
      </c>
      <c r="AD59" s="17"/>
      <c r="AE59" s="17">
        <v>0</v>
      </c>
      <c r="AF59" s="3" t="s">
        <v>224</v>
      </c>
      <c r="AH59" s="16" t="s">
        <v>183</v>
      </c>
      <c r="AI59" s="17"/>
      <c r="AJ59" s="17">
        <v>0</v>
      </c>
      <c r="AK59" s="17"/>
      <c r="AL59" s="17">
        <v>0</v>
      </c>
      <c r="AM59" s="17"/>
      <c r="AN59" s="17">
        <v>0</v>
      </c>
      <c r="AO59" s="17"/>
      <c r="AP59" s="17">
        <v>0</v>
      </c>
      <c r="AQ59" s="17"/>
      <c r="AR59" s="17">
        <v>0</v>
      </c>
      <c r="AS59" s="17"/>
      <c r="AT59" s="28">
        <f t="shared" si="9"/>
        <v>438500</v>
      </c>
      <c r="AU59" s="17"/>
      <c r="AV59" s="28">
        <f t="shared" si="10"/>
        <v>27624999</v>
      </c>
      <c r="AY59" s="3"/>
      <c r="AZ59" s="3" t="str">
        <f t="shared" si="11"/>
        <v>Upper Valley JVSD</v>
      </c>
      <c r="BA59" s="3" t="b">
        <f t="shared" si="12"/>
        <v>1</v>
      </c>
      <c r="BB59" s="20" t="str">
        <f>GovBS!A59</f>
        <v>Upper Valley JVSD</v>
      </c>
      <c r="BC59" s="20" t="b">
        <f t="shared" si="13"/>
        <v>1</v>
      </c>
      <c r="BE59" s="20" t="str">
        <f t="shared" si="14"/>
        <v>Miami</v>
      </c>
      <c r="BF59" s="20" t="b">
        <f t="shared" si="15"/>
        <v>1</v>
      </c>
      <c r="BH59" s="20" t="b">
        <f>C59=GovBS!C59</f>
        <v>1</v>
      </c>
    </row>
    <row r="60" spans="1:60" s="16" customFormat="1">
      <c r="A60" s="3" t="s">
        <v>261</v>
      </c>
      <c r="C60" s="16" t="s">
        <v>195</v>
      </c>
      <c r="E60" s="16">
        <v>51458</v>
      </c>
      <c r="G60" s="17">
        <v>4250937</v>
      </c>
      <c r="H60" s="17"/>
      <c r="I60" s="17">
        <v>19356613</v>
      </c>
      <c r="J60" s="17"/>
      <c r="K60" s="17">
        <v>322227</v>
      </c>
      <c r="L60" s="17"/>
      <c r="M60" s="17">
        <v>597988</v>
      </c>
      <c r="N60" s="17"/>
      <c r="O60" s="17">
        <v>0</v>
      </c>
      <c r="P60" s="17"/>
      <c r="Q60" s="17">
        <v>0</v>
      </c>
      <c r="R60" s="17"/>
      <c r="S60" s="17">
        <v>16335</v>
      </c>
      <c r="T60" s="17"/>
      <c r="U60" s="17">
        <f>119735+225428+397473</f>
        <v>742636</v>
      </c>
      <c r="V60" s="17"/>
      <c r="W60" s="28">
        <f t="shared" si="8"/>
        <v>25286736</v>
      </c>
      <c r="X60" s="17"/>
      <c r="Y60" s="17">
        <v>1505100</v>
      </c>
      <c r="Z60" s="17"/>
      <c r="AA60" s="17">
        <v>0</v>
      </c>
      <c r="AB60" s="17"/>
      <c r="AC60" s="17">
        <v>0</v>
      </c>
      <c r="AD60" s="17"/>
      <c r="AE60" s="17">
        <v>0</v>
      </c>
      <c r="AF60" s="3" t="s">
        <v>261</v>
      </c>
      <c r="AH60" s="16" t="s">
        <v>195</v>
      </c>
      <c r="AI60" s="17"/>
      <c r="AJ60" s="17">
        <v>0</v>
      </c>
      <c r="AK60" s="17"/>
      <c r="AL60" s="17">
        <v>0</v>
      </c>
      <c r="AM60" s="17"/>
      <c r="AN60" s="17">
        <v>0</v>
      </c>
      <c r="AO60" s="17"/>
      <c r="AP60" s="17">
        <v>0</v>
      </c>
      <c r="AQ60" s="17"/>
      <c r="AR60" s="17">
        <v>0</v>
      </c>
      <c r="AS60" s="17"/>
      <c r="AT60" s="28">
        <f t="shared" si="9"/>
        <v>1505100</v>
      </c>
      <c r="AU60" s="17"/>
      <c r="AV60" s="28">
        <f t="shared" si="10"/>
        <v>26791836</v>
      </c>
      <c r="AY60" s="32"/>
      <c r="AZ60" s="3" t="str">
        <f t="shared" si="11"/>
        <v>Vanguard-Sentinel Career Center</v>
      </c>
      <c r="BA60" s="3" t="b">
        <f t="shared" si="12"/>
        <v>1</v>
      </c>
      <c r="BB60" s="20" t="str">
        <f>GovBS!A60</f>
        <v>Vanguard-Sentinel Career Center</v>
      </c>
      <c r="BC60" s="20" t="b">
        <f t="shared" si="13"/>
        <v>1</v>
      </c>
      <c r="BE60" s="20" t="str">
        <f t="shared" si="14"/>
        <v>Sandusky</v>
      </c>
      <c r="BF60" s="20" t="b">
        <f t="shared" si="15"/>
        <v>1</v>
      </c>
      <c r="BH60" s="20" t="b">
        <f>C60=GovBS!C60</f>
        <v>1</v>
      </c>
    </row>
    <row r="61" spans="1:60" s="16" customFormat="1">
      <c r="A61" s="3" t="s">
        <v>262</v>
      </c>
      <c r="C61" s="16" t="s">
        <v>204</v>
      </c>
      <c r="E61" s="16">
        <v>51672</v>
      </c>
      <c r="G61" s="17">
        <v>3876431</v>
      </c>
      <c r="H61" s="17"/>
      <c r="I61" s="17">
        <f>11062585+31834+880219</f>
        <v>11974638</v>
      </c>
      <c r="J61" s="17"/>
      <c r="K61" s="17">
        <v>137073</v>
      </c>
      <c r="L61" s="17"/>
      <c r="M61" s="17">
        <f>1539185+21313</f>
        <v>1560498</v>
      </c>
      <c r="N61" s="17"/>
      <c r="O61" s="17">
        <v>2352</v>
      </c>
      <c r="P61" s="17"/>
      <c r="Q61" s="17">
        <v>0</v>
      </c>
      <c r="R61" s="17"/>
      <c r="S61" s="17">
        <v>37125</v>
      </c>
      <c r="T61" s="17"/>
      <c r="U61" s="17">
        <f>22555+89509+1399+108339-48205</f>
        <v>173597</v>
      </c>
      <c r="V61" s="17"/>
      <c r="W61" s="28">
        <f t="shared" si="8"/>
        <v>17761714</v>
      </c>
      <c r="X61" s="17"/>
      <c r="Y61" s="17">
        <v>340040</v>
      </c>
      <c r="Z61" s="17"/>
      <c r="AA61" s="17">
        <v>0</v>
      </c>
      <c r="AB61" s="17"/>
      <c r="AC61" s="17">
        <f>273045+17869000</f>
        <v>18142045</v>
      </c>
      <c r="AD61" s="17"/>
      <c r="AE61" s="17">
        <v>0</v>
      </c>
      <c r="AF61" s="3" t="s">
        <v>262</v>
      </c>
      <c r="AH61" s="16" t="s">
        <v>204</v>
      </c>
      <c r="AI61" s="17"/>
      <c r="AJ61" s="17">
        <v>0</v>
      </c>
      <c r="AK61" s="17"/>
      <c r="AL61" s="17">
        <v>0</v>
      </c>
      <c r="AM61" s="17"/>
      <c r="AN61" s="17">
        <v>0</v>
      </c>
      <c r="AO61" s="17"/>
      <c r="AP61" s="17">
        <v>0</v>
      </c>
      <c r="AQ61" s="17"/>
      <c r="AR61" s="3">
        <v>0</v>
      </c>
      <c r="AS61" s="17"/>
      <c r="AT61" s="28">
        <f t="shared" si="9"/>
        <v>18482085</v>
      </c>
      <c r="AU61" s="17"/>
      <c r="AV61" s="28">
        <f t="shared" si="10"/>
        <v>36243799</v>
      </c>
      <c r="AY61" s="3"/>
      <c r="AZ61" s="3" t="str">
        <f t="shared" si="11"/>
        <v>Vantage Career Center</v>
      </c>
      <c r="BA61" s="3" t="b">
        <f t="shared" si="12"/>
        <v>1</v>
      </c>
      <c r="BB61" s="20" t="str">
        <f>GovBS!A61</f>
        <v>Vantage Career Center</v>
      </c>
      <c r="BC61" s="20" t="b">
        <f t="shared" si="13"/>
        <v>1</v>
      </c>
      <c r="BE61" s="20" t="str">
        <f t="shared" si="14"/>
        <v>Van Wert</v>
      </c>
      <c r="BF61" s="20" t="b">
        <f t="shared" si="15"/>
        <v>1</v>
      </c>
      <c r="BH61" s="20" t="b">
        <f>C61=GovBS!C61</f>
        <v>1</v>
      </c>
    </row>
    <row r="62" spans="1:60" s="16" customFormat="1">
      <c r="A62" s="3" t="s">
        <v>228</v>
      </c>
      <c r="C62" s="16" t="s">
        <v>205</v>
      </c>
      <c r="E62" s="16">
        <v>51474</v>
      </c>
      <c r="G62" s="17">
        <v>8054760</v>
      </c>
      <c r="H62" s="17"/>
      <c r="I62" s="17">
        <v>7740000</v>
      </c>
      <c r="J62" s="17"/>
      <c r="K62" s="17">
        <v>104588</v>
      </c>
      <c r="L62" s="17"/>
      <c r="M62" s="17">
        <v>2711918</v>
      </c>
      <c r="N62" s="17"/>
      <c r="O62" s="17">
        <v>0</v>
      </c>
      <c r="P62" s="17"/>
      <c r="Q62" s="17">
        <v>60817</v>
      </c>
      <c r="R62" s="17"/>
      <c r="S62" s="17">
        <v>47742</v>
      </c>
      <c r="T62" s="17"/>
      <c r="U62" s="17">
        <f>13147+60478+181954</f>
        <v>255579</v>
      </c>
      <c r="V62" s="17"/>
      <c r="W62" s="28">
        <f t="shared" si="8"/>
        <v>18975404</v>
      </c>
      <c r="X62" s="17"/>
      <c r="Y62" s="3">
        <v>1061033</v>
      </c>
      <c r="Z62" s="3"/>
      <c r="AA62" s="17">
        <v>881000</v>
      </c>
      <c r="AB62" s="17"/>
      <c r="AC62" s="17">
        <v>0</v>
      </c>
      <c r="AD62" s="17"/>
      <c r="AE62" s="17">
        <v>0</v>
      </c>
      <c r="AF62" s="3" t="s">
        <v>228</v>
      </c>
      <c r="AH62" s="16" t="s">
        <v>205</v>
      </c>
      <c r="AI62" s="17"/>
      <c r="AJ62" s="17">
        <v>86486</v>
      </c>
      <c r="AK62" s="17"/>
      <c r="AL62" s="17">
        <v>25923</v>
      </c>
      <c r="AM62" s="17"/>
      <c r="AN62" s="17"/>
      <c r="AO62" s="17"/>
      <c r="AP62" s="17">
        <v>0</v>
      </c>
      <c r="AQ62" s="17"/>
      <c r="AR62" s="17">
        <v>0</v>
      </c>
      <c r="AS62" s="17"/>
      <c r="AT62" s="28">
        <f t="shared" si="9"/>
        <v>2054442</v>
      </c>
      <c r="AU62" s="17"/>
      <c r="AV62" s="28">
        <f t="shared" si="10"/>
        <v>21029846</v>
      </c>
      <c r="AY62" s="3"/>
      <c r="AZ62" s="3" t="str">
        <f t="shared" si="11"/>
        <v>Warren County JVSD</v>
      </c>
      <c r="BA62" s="3" t="b">
        <f t="shared" si="12"/>
        <v>1</v>
      </c>
      <c r="BB62" s="20" t="str">
        <f>GovBS!A62</f>
        <v>Warren County JVSD</v>
      </c>
      <c r="BC62" s="20" t="b">
        <f t="shared" si="13"/>
        <v>1</v>
      </c>
      <c r="BE62" s="20" t="str">
        <f t="shared" si="14"/>
        <v>Warren</v>
      </c>
      <c r="BF62" s="20" t="b">
        <f t="shared" si="15"/>
        <v>1</v>
      </c>
      <c r="BH62" s="20" t="b">
        <f>C62=GovBS!C62</f>
        <v>1</v>
      </c>
    </row>
    <row r="63" spans="1:60" s="16" customFormat="1">
      <c r="A63" s="3" t="s">
        <v>276</v>
      </c>
      <c r="C63" s="16" t="s">
        <v>206</v>
      </c>
      <c r="E63" s="16">
        <v>51698</v>
      </c>
      <c r="G63" s="17">
        <v>1792616</v>
      </c>
      <c r="H63" s="17"/>
      <c r="I63" s="17">
        <v>4954500</v>
      </c>
      <c r="J63" s="17"/>
      <c r="K63" s="17">
        <v>146634</v>
      </c>
      <c r="L63" s="17"/>
      <c r="M63" s="17">
        <v>23251</v>
      </c>
      <c r="N63" s="17"/>
      <c r="O63" s="17">
        <v>0</v>
      </c>
      <c r="P63" s="17"/>
      <c r="Q63" s="17">
        <v>16868</v>
      </c>
      <c r="R63" s="17"/>
      <c r="S63" s="17">
        <v>0</v>
      </c>
      <c r="T63" s="17"/>
      <c r="U63" s="17">
        <f>112294+46835</f>
        <v>159129</v>
      </c>
      <c r="V63" s="17"/>
      <c r="W63" s="28">
        <f t="shared" si="8"/>
        <v>7092998</v>
      </c>
      <c r="X63" s="17"/>
      <c r="Y63" s="17">
        <v>9362</v>
      </c>
      <c r="Z63" s="17"/>
      <c r="AA63" s="17">
        <v>0</v>
      </c>
      <c r="AB63" s="17"/>
      <c r="AC63" s="17">
        <v>0</v>
      </c>
      <c r="AD63" s="17"/>
      <c r="AE63" s="17">
        <v>0</v>
      </c>
      <c r="AF63" s="3" t="s">
        <v>276</v>
      </c>
      <c r="AH63" s="16" t="s">
        <v>206</v>
      </c>
      <c r="AI63" s="17"/>
      <c r="AJ63" s="17">
        <v>0</v>
      </c>
      <c r="AK63" s="17"/>
      <c r="AL63" s="17">
        <v>20</v>
      </c>
      <c r="AM63" s="17"/>
      <c r="AN63" s="17"/>
      <c r="AO63" s="17"/>
      <c r="AP63" s="17">
        <v>0</v>
      </c>
      <c r="AQ63" s="17"/>
      <c r="AR63" s="17">
        <v>0</v>
      </c>
      <c r="AS63" s="17"/>
      <c r="AT63" s="28">
        <f t="shared" si="9"/>
        <v>9382</v>
      </c>
      <c r="AU63" s="17"/>
      <c r="AV63" s="28">
        <f t="shared" si="10"/>
        <v>7102380</v>
      </c>
      <c r="AY63" s="3"/>
      <c r="AZ63" s="3" t="str">
        <f t="shared" si="11"/>
        <v>Washington County Career Center</v>
      </c>
      <c r="BA63" s="3" t="b">
        <f t="shared" si="12"/>
        <v>1</v>
      </c>
      <c r="BB63" s="20" t="str">
        <f>GovBS!A63</f>
        <v>Washington County Career Center</v>
      </c>
      <c r="BC63" s="20" t="b">
        <f t="shared" si="13"/>
        <v>1</v>
      </c>
      <c r="BE63" s="20" t="str">
        <f t="shared" si="14"/>
        <v>Washington</v>
      </c>
      <c r="BF63" s="20" t="b">
        <f t="shared" si="15"/>
        <v>1</v>
      </c>
      <c r="BH63" s="20" t="b">
        <f>C63=GovBS!C63</f>
        <v>1</v>
      </c>
    </row>
    <row r="64" spans="1:60" s="16" customFormat="1">
      <c r="A64" s="3" t="s">
        <v>263</v>
      </c>
      <c r="C64" s="16" t="s">
        <v>208</v>
      </c>
      <c r="E64" s="16">
        <v>51714</v>
      </c>
      <c r="G64" s="17">
        <v>5570251</v>
      </c>
      <c r="H64" s="17"/>
      <c r="I64" s="17">
        <v>14166576</v>
      </c>
      <c r="J64" s="17"/>
      <c r="K64" s="17">
        <v>33006</v>
      </c>
      <c r="L64" s="17"/>
      <c r="M64" s="17">
        <v>1266768</v>
      </c>
      <c r="N64" s="17"/>
      <c r="O64" s="17">
        <v>0</v>
      </c>
      <c r="P64" s="17"/>
      <c r="Q64" s="17">
        <v>0</v>
      </c>
      <c r="R64" s="17"/>
      <c r="S64" s="17">
        <v>134182</v>
      </c>
      <c r="T64" s="17"/>
      <c r="U64" s="17">
        <f>346470+2166</f>
        <v>348636</v>
      </c>
      <c r="V64" s="17"/>
      <c r="W64" s="28">
        <f t="shared" si="8"/>
        <v>21519419</v>
      </c>
      <c r="X64" s="17"/>
      <c r="Y64" s="17">
        <v>601088</v>
      </c>
      <c r="Z64" s="17"/>
      <c r="AA64" s="17">
        <v>0</v>
      </c>
      <c r="AB64" s="17"/>
      <c r="AC64" s="17">
        <v>0</v>
      </c>
      <c r="AD64" s="17"/>
      <c r="AE64" s="17">
        <v>0</v>
      </c>
      <c r="AF64" s="3" t="s">
        <v>263</v>
      </c>
      <c r="AH64" s="16" t="s">
        <v>208</v>
      </c>
      <c r="AI64" s="17"/>
      <c r="AJ64" s="17">
        <v>0</v>
      </c>
      <c r="AK64" s="17"/>
      <c r="AL64" s="17">
        <v>0</v>
      </c>
      <c r="AM64" s="17"/>
      <c r="AN64" s="17"/>
      <c r="AO64" s="17"/>
      <c r="AP64" s="17">
        <v>0</v>
      </c>
      <c r="AQ64" s="17"/>
      <c r="AR64" s="17">
        <v>0</v>
      </c>
      <c r="AS64" s="17"/>
      <c r="AT64" s="28">
        <f t="shared" si="9"/>
        <v>601088</v>
      </c>
      <c r="AU64" s="17"/>
      <c r="AV64" s="28">
        <f t="shared" si="10"/>
        <v>22120507</v>
      </c>
      <c r="AY64" s="32"/>
      <c r="AZ64" s="3" t="str">
        <f t="shared" si="11"/>
        <v>Wayne County JVSD</v>
      </c>
      <c r="BA64" s="3" t="b">
        <f t="shared" si="12"/>
        <v>1</v>
      </c>
      <c r="BB64" s="20" t="str">
        <f>GovBS!A64</f>
        <v>Wayne County JVSD</v>
      </c>
      <c r="BC64" s="20" t="b">
        <f t="shared" si="13"/>
        <v>1</v>
      </c>
      <c r="BE64" s="20" t="str">
        <f t="shared" si="14"/>
        <v>Wayne</v>
      </c>
      <c r="BF64" s="20" t="b">
        <f t="shared" si="15"/>
        <v>1</v>
      </c>
      <c r="BH64" s="20" t="b">
        <f>C64=GovBS!C64</f>
        <v>1</v>
      </c>
    </row>
    <row r="65" spans="1:63" s="16" customFormat="1">
      <c r="A65" s="3"/>
      <c r="C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D65" s="3"/>
      <c r="AE65" s="3"/>
      <c r="AF65" s="3"/>
      <c r="AH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28"/>
      <c r="AU65" s="3"/>
      <c r="AV65" s="3"/>
      <c r="AZ65" s="3"/>
      <c r="BA65" s="3"/>
      <c r="BB65" s="20"/>
      <c r="BC65" s="20"/>
      <c r="BE65" s="20"/>
      <c r="BF65" s="20"/>
      <c r="BH65" s="20"/>
    </row>
    <row r="66" spans="1:63" s="16" customFormat="1">
      <c r="A66" s="103"/>
      <c r="B66" s="103"/>
      <c r="C66" s="103"/>
      <c r="D66" s="103"/>
      <c r="E66" s="103"/>
      <c r="F66" s="103"/>
      <c r="G66" s="103"/>
      <c r="AC66" s="39" t="s">
        <v>266</v>
      </c>
      <c r="AJ66" s="3"/>
      <c r="AK66" s="3"/>
      <c r="AL66" s="17"/>
      <c r="AM66" s="3"/>
      <c r="AN66" s="3"/>
      <c r="AO66" s="3"/>
      <c r="AP66" s="3"/>
      <c r="AQ66" s="3"/>
      <c r="AR66" s="3"/>
      <c r="AS66" s="3"/>
      <c r="AT66" s="28"/>
      <c r="AU66" s="3"/>
      <c r="AV66" s="17" t="s">
        <v>266</v>
      </c>
      <c r="AZ66" s="3"/>
      <c r="BA66" s="3"/>
      <c r="BB66" s="20"/>
      <c r="BC66" s="20"/>
      <c r="BE66" s="20"/>
      <c r="BF66" s="20"/>
      <c r="BH66" s="20"/>
    </row>
    <row r="67" spans="1:63" s="16" customFormat="1">
      <c r="A67" s="40" t="s">
        <v>265</v>
      </c>
      <c r="AF67" s="40" t="s">
        <v>265</v>
      </c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28"/>
      <c r="AU67" s="3"/>
      <c r="AV67" s="3"/>
      <c r="AZ67" s="3"/>
      <c r="BA67" s="3"/>
      <c r="BB67" s="20"/>
      <c r="BC67" s="20"/>
      <c r="BE67" s="20"/>
      <c r="BF67" s="20"/>
      <c r="BH67" s="20"/>
    </row>
    <row r="68" spans="1:63" s="16" customFormat="1">
      <c r="A68" s="40"/>
      <c r="AF68" s="40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28"/>
      <c r="AU68" s="3"/>
      <c r="AV68" s="3"/>
      <c r="AZ68" s="3"/>
      <c r="BA68" s="3"/>
      <c r="BB68" s="20"/>
      <c r="BC68" s="20"/>
      <c r="BE68" s="20"/>
      <c r="BF68" s="20"/>
      <c r="BH68" s="20"/>
    </row>
    <row r="69" spans="1:63" s="68" customFormat="1" hidden="1">
      <c r="A69" s="65" t="s">
        <v>414</v>
      </c>
      <c r="B69" s="65"/>
      <c r="C69" s="65" t="s">
        <v>272</v>
      </c>
      <c r="E69" s="82">
        <v>45849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9">
        <f t="shared" ref="W69:W100" si="16">SUM(G69:V69)</f>
        <v>0</v>
      </c>
      <c r="X69" s="67"/>
      <c r="Y69" s="67">
        <v>0</v>
      </c>
      <c r="Z69" s="67"/>
      <c r="AA69" s="83"/>
      <c r="AB69" s="83"/>
      <c r="AC69" s="83"/>
      <c r="AD69" s="67"/>
      <c r="AE69" s="67">
        <v>0</v>
      </c>
      <c r="AF69" s="65" t="s">
        <v>414</v>
      </c>
      <c r="AG69" s="65"/>
      <c r="AH69" s="65" t="s">
        <v>272</v>
      </c>
      <c r="AI69" s="83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9">
        <f t="shared" ref="AT69:AT100" si="17">SUM(Y69:AR69)</f>
        <v>0</v>
      </c>
      <c r="AU69" s="67"/>
      <c r="AV69" s="69">
        <f t="shared" ref="AV69:AV100" si="18">+AT69+W69</f>
        <v>0</v>
      </c>
      <c r="AY69" s="66" t="s">
        <v>413</v>
      </c>
      <c r="AZ69" s="65" t="str">
        <f t="shared" ref="AZ69:AZ100" si="19">A69</f>
        <v>Allen County Educ Srv Ctr (CASH)</v>
      </c>
      <c r="BA69" s="65" t="b">
        <f t="shared" ref="BA69:BA100" si="20">A69=AF69</f>
        <v>1</v>
      </c>
      <c r="BB69" s="68" t="str">
        <f>GovBS!A69</f>
        <v>Allen County Educ Srv Ctr (CASH)</v>
      </c>
      <c r="BC69" s="68" t="b">
        <f t="shared" ref="BC69:BC100" si="21">AZ69=BB69</f>
        <v>1</v>
      </c>
      <c r="BE69" s="68" t="str">
        <f t="shared" ref="BE69:BE100" si="22">C69</f>
        <v>Allen</v>
      </c>
      <c r="BF69" s="68" t="b">
        <f t="shared" ref="BF69:BF100" si="23">C69=AH69</f>
        <v>1</v>
      </c>
      <c r="BH69" s="68" t="b">
        <f>C69=GovBS!C69</f>
        <v>1</v>
      </c>
    </row>
    <row r="70" spans="1:63" s="68" customFormat="1" hidden="1">
      <c r="A70" s="65" t="s">
        <v>415</v>
      </c>
      <c r="B70" s="65"/>
      <c r="C70" s="65" t="s">
        <v>147</v>
      </c>
      <c r="E70" s="82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9">
        <f t="shared" si="16"/>
        <v>0</v>
      </c>
      <c r="X70" s="67"/>
      <c r="Y70" s="67">
        <v>0</v>
      </c>
      <c r="Z70" s="67"/>
      <c r="AA70" s="67"/>
      <c r="AB70" s="67"/>
      <c r="AC70" s="67"/>
      <c r="AD70" s="67"/>
      <c r="AE70" s="67">
        <v>0</v>
      </c>
      <c r="AF70" s="65" t="s">
        <v>415</v>
      </c>
      <c r="AG70" s="65"/>
      <c r="AH70" s="65" t="s">
        <v>147</v>
      </c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9">
        <f t="shared" si="17"/>
        <v>0</v>
      </c>
      <c r="AU70" s="67"/>
      <c r="AV70" s="69">
        <f t="shared" si="18"/>
        <v>0</v>
      </c>
      <c r="AW70" s="66"/>
      <c r="AX70" s="66"/>
      <c r="AY70" s="66" t="s">
        <v>377</v>
      </c>
      <c r="AZ70" s="65" t="str">
        <f t="shared" si="19"/>
        <v>Ashtabula County Educ Srv Ctr (CASH)</v>
      </c>
      <c r="BA70" s="65" t="b">
        <f t="shared" si="20"/>
        <v>1</v>
      </c>
      <c r="BB70" s="68" t="str">
        <f>GovBS!A70</f>
        <v>Ashtabula County Educ Srv Ctr (CASH)</v>
      </c>
      <c r="BC70" s="68" t="b">
        <f t="shared" si="21"/>
        <v>1</v>
      </c>
      <c r="BD70" s="66"/>
      <c r="BE70" s="68" t="str">
        <f t="shared" si="22"/>
        <v>Ashtabula</v>
      </c>
      <c r="BF70" s="68" t="b">
        <f t="shared" si="23"/>
        <v>1</v>
      </c>
      <c r="BG70" s="66"/>
      <c r="BH70" s="68" t="b">
        <f>C70=GovBS!C70</f>
        <v>1</v>
      </c>
    </row>
    <row r="71" spans="1:63" s="16" customFormat="1">
      <c r="A71" s="3" t="s">
        <v>151</v>
      </c>
      <c r="C71" s="16" t="s">
        <v>148</v>
      </c>
      <c r="E71" s="16">
        <v>135145</v>
      </c>
      <c r="G71" s="21">
        <v>0</v>
      </c>
      <c r="H71" s="21"/>
      <c r="I71" s="21">
        <v>4519895</v>
      </c>
      <c r="J71" s="21"/>
      <c r="K71" s="21">
        <v>11279</v>
      </c>
      <c r="L71" s="21"/>
      <c r="M71" s="21">
        <v>1714298</v>
      </c>
      <c r="N71" s="21"/>
      <c r="O71" s="21">
        <v>0</v>
      </c>
      <c r="P71" s="21"/>
      <c r="Q71" s="21">
        <v>0</v>
      </c>
      <c r="R71" s="21"/>
      <c r="S71" s="21">
        <v>10</v>
      </c>
      <c r="T71" s="21"/>
      <c r="U71" s="21">
        <f>1119617+32423+1332025</f>
        <v>2484065</v>
      </c>
      <c r="V71" s="21"/>
      <c r="W71" s="25">
        <f t="shared" si="16"/>
        <v>8729547</v>
      </c>
      <c r="X71" s="21"/>
      <c r="Y71" s="21">
        <v>0</v>
      </c>
      <c r="Z71" s="21"/>
      <c r="AA71" s="21">
        <v>0</v>
      </c>
      <c r="AB71" s="21"/>
      <c r="AC71" s="21">
        <v>0</v>
      </c>
      <c r="AD71" s="21"/>
      <c r="AE71" s="21">
        <v>0</v>
      </c>
      <c r="AF71" s="3" t="s">
        <v>151</v>
      </c>
      <c r="AH71" s="16" t="s">
        <v>148</v>
      </c>
      <c r="AI71" s="21"/>
      <c r="AJ71" s="21">
        <v>0</v>
      </c>
      <c r="AK71" s="21"/>
      <c r="AL71" s="21">
        <v>0</v>
      </c>
      <c r="AM71" s="21"/>
      <c r="AN71" s="21"/>
      <c r="AO71" s="21"/>
      <c r="AP71" s="21">
        <v>0</v>
      </c>
      <c r="AQ71" s="21"/>
      <c r="AR71" s="21">
        <v>0</v>
      </c>
      <c r="AS71" s="21"/>
      <c r="AT71" s="25">
        <f t="shared" si="17"/>
        <v>0</v>
      </c>
      <c r="AU71" s="21"/>
      <c r="AV71" s="25">
        <f t="shared" si="18"/>
        <v>8729547</v>
      </c>
      <c r="AW71" s="20"/>
      <c r="AX71" s="20"/>
      <c r="AZ71" s="3" t="str">
        <f t="shared" si="19"/>
        <v>Athens-Meigs Educ Srv Ctr</v>
      </c>
      <c r="BA71" s="3" t="b">
        <f t="shared" si="20"/>
        <v>1</v>
      </c>
      <c r="BB71" s="20" t="str">
        <f>GovBS!A71</f>
        <v>Athens-Meigs Educ Srv Ctr</v>
      </c>
      <c r="BC71" s="20" t="b">
        <f t="shared" si="21"/>
        <v>1</v>
      </c>
      <c r="BD71" s="20"/>
      <c r="BE71" s="20" t="str">
        <f t="shared" si="22"/>
        <v>Athens</v>
      </c>
      <c r="BF71" s="20" t="b">
        <f t="shared" si="23"/>
        <v>1</v>
      </c>
      <c r="BG71" s="20"/>
      <c r="BH71" s="20" t="b">
        <f>C71=GovBS!C71</f>
        <v>1</v>
      </c>
      <c r="BI71" s="20"/>
      <c r="BJ71" s="20"/>
      <c r="BK71" s="20"/>
    </row>
    <row r="72" spans="1:63" s="66" customFormat="1" hidden="1">
      <c r="A72" s="65" t="s">
        <v>416</v>
      </c>
      <c r="B72" s="65"/>
      <c r="C72" s="65" t="s">
        <v>273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9">
        <f t="shared" si="16"/>
        <v>0</v>
      </c>
      <c r="X72" s="67"/>
      <c r="Y72" s="67"/>
      <c r="Z72" s="67"/>
      <c r="AA72" s="67"/>
      <c r="AB72" s="67"/>
      <c r="AC72" s="67"/>
      <c r="AD72" s="67"/>
      <c r="AE72" s="67"/>
      <c r="AF72" s="65" t="s">
        <v>416</v>
      </c>
      <c r="AG72" s="65"/>
      <c r="AH72" s="65" t="s">
        <v>273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9">
        <f t="shared" si="17"/>
        <v>0</v>
      </c>
      <c r="AU72" s="67"/>
      <c r="AV72" s="69">
        <f t="shared" si="18"/>
        <v>0</v>
      </c>
      <c r="AY72" s="66" t="s">
        <v>404</v>
      </c>
      <c r="AZ72" s="65" t="str">
        <f t="shared" si="19"/>
        <v>Auglaize County Educ Srv Ctr (CASH)</v>
      </c>
      <c r="BA72" s="65" t="b">
        <f t="shared" si="20"/>
        <v>1</v>
      </c>
      <c r="BB72" s="68" t="str">
        <f>GovBS!A72</f>
        <v>Auglaize County Educ Srv Ctr (CASH)</v>
      </c>
      <c r="BC72" s="68" t="b">
        <f t="shared" si="21"/>
        <v>1</v>
      </c>
      <c r="BE72" s="68" t="str">
        <f t="shared" si="22"/>
        <v>Auglaize</v>
      </c>
      <c r="BF72" s="68" t="b">
        <f t="shared" si="23"/>
        <v>1</v>
      </c>
      <c r="BH72" s="68" t="b">
        <f>C72=GovBS!C72</f>
        <v>1</v>
      </c>
    </row>
    <row r="73" spans="1:63" s="16" customFormat="1">
      <c r="A73" s="16" t="s">
        <v>322</v>
      </c>
      <c r="C73" s="16" t="s">
        <v>153</v>
      </c>
      <c r="E73" s="16">
        <v>46029</v>
      </c>
      <c r="G73" s="17">
        <v>0</v>
      </c>
      <c r="H73" s="17"/>
      <c r="I73" s="17">
        <v>1043936</v>
      </c>
      <c r="J73" s="17"/>
      <c r="K73" s="17">
        <v>24832</v>
      </c>
      <c r="L73" s="17"/>
      <c r="M73" s="17">
        <v>116123</v>
      </c>
      <c r="N73" s="17"/>
      <c r="O73" s="17">
        <v>0</v>
      </c>
      <c r="P73" s="17"/>
      <c r="Q73" s="17">
        <v>0</v>
      </c>
      <c r="R73" s="17"/>
      <c r="S73" s="17">
        <v>245</v>
      </c>
      <c r="T73" s="17"/>
      <c r="U73" s="17">
        <v>3480670</v>
      </c>
      <c r="V73" s="17"/>
      <c r="W73" s="28">
        <f t="shared" si="16"/>
        <v>4665806</v>
      </c>
      <c r="X73" s="17"/>
      <c r="Y73" s="17">
        <v>0</v>
      </c>
      <c r="Z73" s="17"/>
      <c r="AA73" s="17">
        <v>0</v>
      </c>
      <c r="AB73" s="17"/>
      <c r="AC73" s="17">
        <v>0</v>
      </c>
      <c r="AD73" s="17"/>
      <c r="AE73" s="17">
        <v>0</v>
      </c>
      <c r="AF73" s="16" t="s">
        <v>322</v>
      </c>
      <c r="AH73" s="16" t="s">
        <v>153</v>
      </c>
      <c r="AI73" s="17"/>
      <c r="AJ73" s="17">
        <v>0</v>
      </c>
      <c r="AK73" s="17"/>
      <c r="AL73" s="17">
        <v>0</v>
      </c>
      <c r="AM73" s="17"/>
      <c r="AN73" s="17">
        <v>0</v>
      </c>
      <c r="AO73" s="17"/>
      <c r="AP73" s="17">
        <v>0</v>
      </c>
      <c r="AQ73" s="17"/>
      <c r="AR73" s="17">
        <v>0</v>
      </c>
      <c r="AS73" s="17"/>
      <c r="AT73" s="28">
        <f t="shared" si="17"/>
        <v>0</v>
      </c>
      <c r="AU73" s="17"/>
      <c r="AV73" s="28">
        <f t="shared" si="18"/>
        <v>4665806</v>
      </c>
      <c r="AY73" s="3" t="s">
        <v>405</v>
      </c>
      <c r="AZ73" s="3" t="str">
        <f t="shared" si="19"/>
        <v>Brown County Educ Srv Ctr</v>
      </c>
      <c r="BA73" s="3" t="b">
        <f t="shared" si="20"/>
        <v>1</v>
      </c>
      <c r="BB73" s="20" t="str">
        <f>GovBS!A73</f>
        <v>Brown County Educ Srv Ctr</v>
      </c>
      <c r="BC73" s="20" t="b">
        <f t="shared" si="21"/>
        <v>1</v>
      </c>
      <c r="BE73" s="20" t="str">
        <f t="shared" si="22"/>
        <v>Brown</v>
      </c>
      <c r="BF73" s="20" t="b">
        <f t="shared" si="23"/>
        <v>1</v>
      </c>
      <c r="BH73" s="20" t="b">
        <f>C73=GovBS!C73</f>
        <v>1</v>
      </c>
    </row>
    <row r="74" spans="1:63" s="16" customFormat="1">
      <c r="A74" s="16" t="s">
        <v>323</v>
      </c>
      <c r="C74" s="16" t="s">
        <v>150</v>
      </c>
      <c r="E74" s="16">
        <v>46086</v>
      </c>
      <c r="G74" s="17">
        <v>0</v>
      </c>
      <c r="H74" s="17"/>
      <c r="I74" s="17">
        <v>8150635</v>
      </c>
      <c r="J74" s="17"/>
      <c r="K74" s="17">
        <v>16230</v>
      </c>
      <c r="L74" s="17"/>
      <c r="M74" s="17">
        <v>109110</v>
      </c>
      <c r="N74" s="17"/>
      <c r="O74" s="17">
        <v>0</v>
      </c>
      <c r="P74" s="17"/>
      <c r="Q74" s="17">
        <v>0</v>
      </c>
      <c r="R74" s="17"/>
      <c r="S74" s="17">
        <v>0</v>
      </c>
      <c r="T74" s="17"/>
      <c r="U74" s="17">
        <f>4454612+1202614</f>
        <v>5657226</v>
      </c>
      <c r="V74" s="17"/>
      <c r="W74" s="28">
        <f t="shared" si="16"/>
        <v>13933201</v>
      </c>
      <c r="X74" s="17"/>
      <c r="Y74" s="17">
        <v>0</v>
      </c>
      <c r="Z74" s="17"/>
      <c r="AA74" s="17">
        <v>0</v>
      </c>
      <c r="AB74" s="17"/>
      <c r="AC74" s="17">
        <v>0</v>
      </c>
      <c r="AD74" s="17"/>
      <c r="AE74" s="17">
        <v>0</v>
      </c>
      <c r="AF74" s="16" t="s">
        <v>323</v>
      </c>
      <c r="AH74" s="16" t="s">
        <v>150</v>
      </c>
      <c r="AI74" s="17"/>
      <c r="AJ74" s="17">
        <v>0</v>
      </c>
      <c r="AK74" s="17"/>
      <c r="AL74" s="17">
        <v>0</v>
      </c>
      <c r="AM74" s="17"/>
      <c r="AN74" s="17">
        <v>0</v>
      </c>
      <c r="AO74" s="17"/>
      <c r="AP74" s="17">
        <v>0</v>
      </c>
      <c r="AQ74" s="17"/>
      <c r="AR74" s="17">
        <v>0</v>
      </c>
      <c r="AS74" s="17"/>
      <c r="AT74" s="28">
        <f t="shared" si="17"/>
        <v>0</v>
      </c>
      <c r="AU74" s="17"/>
      <c r="AV74" s="28">
        <f t="shared" si="18"/>
        <v>13933201</v>
      </c>
      <c r="AY74" s="3"/>
      <c r="AZ74" s="3" t="str">
        <f t="shared" si="19"/>
        <v>Butler County Educ Srv Ctr</v>
      </c>
      <c r="BA74" s="3" t="b">
        <f t="shared" si="20"/>
        <v>1</v>
      </c>
      <c r="BB74" s="20" t="str">
        <f>GovBS!A74</f>
        <v>Butler County Educ Srv Ctr</v>
      </c>
      <c r="BC74" s="20" t="b">
        <f t="shared" si="21"/>
        <v>1</v>
      </c>
      <c r="BE74" s="20" t="str">
        <f t="shared" si="22"/>
        <v>Butler</v>
      </c>
      <c r="BF74" s="20" t="b">
        <f t="shared" si="23"/>
        <v>1</v>
      </c>
      <c r="BH74" s="20" t="b">
        <f>C74=GovBS!C74</f>
        <v>1</v>
      </c>
    </row>
    <row r="75" spans="1:63" s="16" customFormat="1">
      <c r="A75" s="16" t="s">
        <v>324</v>
      </c>
      <c r="C75" s="16" t="s">
        <v>155</v>
      </c>
      <c r="E75" s="16">
        <v>46227</v>
      </c>
      <c r="G75" s="17">
        <v>0</v>
      </c>
      <c r="H75" s="17"/>
      <c r="I75" s="17">
        <v>2290359</v>
      </c>
      <c r="J75" s="17"/>
      <c r="K75" s="17">
        <v>2480</v>
      </c>
      <c r="L75" s="17"/>
      <c r="M75" s="17">
        <v>3941029</v>
      </c>
      <c r="N75" s="17"/>
      <c r="O75" s="17">
        <v>0</v>
      </c>
      <c r="P75" s="17"/>
      <c r="Q75" s="17">
        <v>0</v>
      </c>
      <c r="R75" s="17"/>
      <c r="S75" s="17">
        <v>0</v>
      </c>
      <c r="T75" s="17"/>
      <c r="U75" s="17">
        <f>166729+104621</f>
        <v>271350</v>
      </c>
      <c r="V75" s="17"/>
      <c r="W75" s="28">
        <f t="shared" si="16"/>
        <v>6505218</v>
      </c>
      <c r="X75" s="17"/>
      <c r="Y75" s="17">
        <v>0</v>
      </c>
      <c r="Z75" s="17"/>
      <c r="AA75" s="17">
        <v>0</v>
      </c>
      <c r="AB75" s="17"/>
      <c r="AC75" s="17">
        <v>0</v>
      </c>
      <c r="AD75" s="17"/>
      <c r="AE75" s="17">
        <v>0</v>
      </c>
      <c r="AF75" s="16" t="s">
        <v>324</v>
      </c>
      <c r="AH75" s="16" t="s">
        <v>155</v>
      </c>
      <c r="AI75" s="17"/>
      <c r="AJ75" s="17">
        <v>0</v>
      </c>
      <c r="AK75" s="17"/>
      <c r="AL75" s="17">
        <v>0</v>
      </c>
      <c r="AM75" s="17"/>
      <c r="AN75" s="17"/>
      <c r="AO75" s="17"/>
      <c r="AP75" s="17">
        <v>0</v>
      </c>
      <c r="AQ75" s="17"/>
      <c r="AR75" s="17">
        <v>0</v>
      </c>
      <c r="AS75" s="17"/>
      <c r="AT75" s="28">
        <f t="shared" si="17"/>
        <v>0</v>
      </c>
      <c r="AU75" s="17"/>
      <c r="AV75" s="28">
        <f t="shared" si="18"/>
        <v>6505218</v>
      </c>
      <c r="AY75" s="3"/>
      <c r="AZ75" s="3" t="str">
        <f t="shared" si="19"/>
        <v>Clark County Educ Srv Ctr</v>
      </c>
      <c r="BA75" s="3" t="b">
        <f t="shared" si="20"/>
        <v>1</v>
      </c>
      <c r="BB75" s="20" t="str">
        <f>GovBS!A75</f>
        <v>Clark County Educ Srv Ctr</v>
      </c>
      <c r="BC75" s="20" t="b">
        <f t="shared" si="21"/>
        <v>1</v>
      </c>
      <c r="BE75" s="20" t="str">
        <f t="shared" si="22"/>
        <v>Clark</v>
      </c>
      <c r="BF75" s="20" t="b">
        <f t="shared" si="23"/>
        <v>1</v>
      </c>
      <c r="BH75" s="20" t="b">
        <f>C75=GovBS!C75</f>
        <v>1</v>
      </c>
    </row>
    <row r="76" spans="1:63" s="16" customFormat="1">
      <c r="A76" s="3" t="s">
        <v>156</v>
      </c>
      <c r="C76" s="16" t="s">
        <v>157</v>
      </c>
      <c r="E76" s="16">
        <v>46292</v>
      </c>
      <c r="G76" s="17">
        <v>0</v>
      </c>
      <c r="H76" s="17"/>
      <c r="I76" s="17">
        <v>2234695</v>
      </c>
      <c r="J76" s="17"/>
      <c r="K76" s="17">
        <v>11348</v>
      </c>
      <c r="L76" s="17"/>
      <c r="M76" s="17">
        <f>16190336+570217+250411</f>
        <v>17010964</v>
      </c>
      <c r="N76" s="17"/>
      <c r="O76" s="17">
        <v>0</v>
      </c>
      <c r="P76" s="17"/>
      <c r="Q76" s="17">
        <v>0</v>
      </c>
      <c r="R76" s="17"/>
      <c r="S76" s="17">
        <v>17278</v>
      </c>
      <c r="T76" s="17"/>
      <c r="U76" s="17">
        <v>25070</v>
      </c>
      <c r="V76" s="17"/>
      <c r="W76" s="28">
        <f t="shared" si="16"/>
        <v>19299355</v>
      </c>
      <c r="X76" s="17"/>
      <c r="Y76" s="17">
        <v>15000</v>
      </c>
      <c r="Z76" s="17"/>
      <c r="AA76" s="17">
        <v>0</v>
      </c>
      <c r="AB76" s="17"/>
      <c r="AC76" s="17">
        <v>0</v>
      </c>
      <c r="AD76" s="17"/>
      <c r="AE76" s="17">
        <v>0</v>
      </c>
      <c r="AF76" s="3" t="s">
        <v>156</v>
      </c>
      <c r="AH76" s="16" t="s">
        <v>157</v>
      </c>
      <c r="AI76" s="17"/>
      <c r="AJ76" s="17">
        <v>0</v>
      </c>
      <c r="AK76" s="17"/>
      <c r="AL76" s="17">
        <v>0</v>
      </c>
      <c r="AM76" s="17"/>
      <c r="AN76" s="17">
        <v>0</v>
      </c>
      <c r="AO76" s="17"/>
      <c r="AP76" s="17">
        <v>0</v>
      </c>
      <c r="AQ76" s="17"/>
      <c r="AR76" s="17">
        <v>0</v>
      </c>
      <c r="AS76" s="17"/>
      <c r="AT76" s="28">
        <f t="shared" si="17"/>
        <v>15000</v>
      </c>
      <c r="AU76" s="17"/>
      <c r="AV76" s="28">
        <f t="shared" si="18"/>
        <v>19314355</v>
      </c>
      <c r="AY76" s="3" t="s">
        <v>425</v>
      </c>
      <c r="AZ76" s="3" t="str">
        <f t="shared" si="19"/>
        <v>Clermont County Educ Srv Ctr</v>
      </c>
      <c r="BA76" s="3" t="b">
        <f t="shared" si="20"/>
        <v>1</v>
      </c>
      <c r="BB76" s="20" t="str">
        <f>GovBS!A76</f>
        <v>Clermont County Educ Srv Ctr</v>
      </c>
      <c r="BC76" s="20" t="b">
        <f t="shared" si="21"/>
        <v>1</v>
      </c>
      <c r="BE76" s="20" t="str">
        <f t="shared" si="22"/>
        <v>Clermont</v>
      </c>
      <c r="BF76" s="20" t="b">
        <f t="shared" si="23"/>
        <v>1</v>
      </c>
      <c r="BH76" s="20" t="b">
        <f>C76=GovBS!C76</f>
        <v>1</v>
      </c>
    </row>
    <row r="77" spans="1:63" s="66" customFormat="1" hidden="1">
      <c r="A77" s="66" t="s">
        <v>294</v>
      </c>
      <c r="C77" s="66" t="s">
        <v>158</v>
      </c>
      <c r="E77" s="66">
        <v>46375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9">
        <f t="shared" si="16"/>
        <v>0</v>
      </c>
      <c r="X77" s="67"/>
      <c r="Y77" s="67"/>
      <c r="Z77" s="67"/>
      <c r="AA77" s="67"/>
      <c r="AB77" s="67"/>
      <c r="AC77" s="67"/>
      <c r="AD77" s="67"/>
      <c r="AE77" s="67"/>
      <c r="AF77" s="66" t="s">
        <v>294</v>
      </c>
      <c r="AH77" s="66" t="s">
        <v>158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9">
        <f t="shared" si="17"/>
        <v>0</v>
      </c>
      <c r="AU77" s="67"/>
      <c r="AV77" s="69">
        <f t="shared" si="18"/>
        <v>0</v>
      </c>
      <c r="AY77" s="66" t="s">
        <v>314</v>
      </c>
      <c r="AZ77" s="65" t="str">
        <f t="shared" si="19"/>
        <v>Clinton Fayette Highland Educ-now Southern Ohio ESC</v>
      </c>
      <c r="BA77" s="65" t="b">
        <f t="shared" si="20"/>
        <v>1</v>
      </c>
      <c r="BB77" s="68" t="str">
        <f>GovBS!A77</f>
        <v>Clinton Fayette Highland Educ-now Southern Ohio ESC</v>
      </c>
      <c r="BC77" s="68" t="b">
        <f t="shared" si="21"/>
        <v>1</v>
      </c>
      <c r="BE77" s="68" t="str">
        <f t="shared" si="22"/>
        <v>Clinton</v>
      </c>
      <c r="BF77" s="68" t="b">
        <f t="shared" si="23"/>
        <v>1</v>
      </c>
      <c r="BH77" s="68" t="b">
        <f>C77=GovBS!C77</f>
        <v>1</v>
      </c>
    </row>
    <row r="78" spans="1:63" s="16" customFormat="1">
      <c r="A78" s="16" t="s">
        <v>345</v>
      </c>
      <c r="C78" s="16" t="s">
        <v>159</v>
      </c>
      <c r="E78" s="16">
        <v>46417</v>
      </c>
      <c r="G78" s="17">
        <v>0</v>
      </c>
      <c r="H78" s="17"/>
      <c r="I78" s="17">
        <f>1323587+950476</f>
        <v>2274063</v>
      </c>
      <c r="J78" s="17"/>
      <c r="K78" s="17">
        <v>620</v>
      </c>
      <c r="L78" s="17"/>
      <c r="M78" s="17">
        <v>7125483</v>
      </c>
      <c r="N78" s="17"/>
      <c r="O78" s="17">
        <v>5503</v>
      </c>
      <c r="P78" s="17"/>
      <c r="Q78" s="17">
        <v>0</v>
      </c>
      <c r="R78" s="17"/>
      <c r="S78" s="17">
        <v>5709</v>
      </c>
      <c r="T78" s="17"/>
      <c r="U78" s="17">
        <f>1383674+17989</f>
        <v>1401663</v>
      </c>
      <c r="V78" s="17"/>
      <c r="W78" s="28">
        <f t="shared" si="16"/>
        <v>10813041</v>
      </c>
      <c r="X78" s="17"/>
      <c r="Y78" s="17">
        <v>66843</v>
      </c>
      <c r="Z78" s="17"/>
      <c r="AA78" s="17">
        <v>0</v>
      </c>
      <c r="AB78" s="17"/>
      <c r="AC78" s="17">
        <v>0</v>
      </c>
      <c r="AD78" s="17"/>
      <c r="AE78" s="17">
        <v>0</v>
      </c>
      <c r="AF78" s="16" t="s">
        <v>345</v>
      </c>
      <c r="AH78" s="16" t="s">
        <v>159</v>
      </c>
      <c r="AI78" s="17"/>
      <c r="AJ78" s="17">
        <v>78959</v>
      </c>
      <c r="AK78" s="17"/>
      <c r="AL78" s="17">
        <v>0</v>
      </c>
      <c r="AM78" s="17"/>
      <c r="AN78" s="17"/>
      <c r="AO78" s="17"/>
      <c r="AP78" s="17">
        <v>0</v>
      </c>
      <c r="AQ78" s="17"/>
      <c r="AR78" s="17">
        <v>0</v>
      </c>
      <c r="AS78" s="17"/>
      <c r="AT78" s="28">
        <f t="shared" si="17"/>
        <v>145802</v>
      </c>
      <c r="AU78" s="17"/>
      <c r="AV78" s="28">
        <f t="shared" si="18"/>
        <v>10958843</v>
      </c>
      <c r="AY78" s="3"/>
      <c r="AZ78" s="3" t="str">
        <f t="shared" si="19"/>
        <v>Columbiana County Educ Srv Ctr</v>
      </c>
      <c r="BA78" s="3" t="b">
        <f t="shared" si="20"/>
        <v>1</v>
      </c>
      <c r="BB78" s="20" t="str">
        <f>GovBS!A78</f>
        <v>Columbiana County Educ Srv Ctr</v>
      </c>
      <c r="BC78" s="20" t="b">
        <f t="shared" si="21"/>
        <v>1</v>
      </c>
      <c r="BE78" s="20" t="str">
        <f t="shared" si="22"/>
        <v>Columbiana</v>
      </c>
      <c r="BF78" s="20" t="b">
        <f t="shared" si="23"/>
        <v>1</v>
      </c>
      <c r="BH78" s="20" t="b">
        <f>C78=GovBS!C78</f>
        <v>1</v>
      </c>
    </row>
    <row r="79" spans="1:63" s="16" customFormat="1">
      <c r="A79" s="3" t="s">
        <v>347</v>
      </c>
      <c r="C79" s="16" t="s">
        <v>160</v>
      </c>
      <c r="E79" s="16">
        <v>46532</v>
      </c>
      <c r="G79" s="17">
        <v>0</v>
      </c>
      <c r="H79" s="17"/>
      <c r="I79" s="17">
        <v>18830108</v>
      </c>
      <c r="J79" s="17"/>
      <c r="K79" s="17">
        <v>69468</v>
      </c>
      <c r="L79" s="17"/>
      <c r="M79" s="17">
        <v>35333836</v>
      </c>
      <c r="N79" s="17"/>
      <c r="O79" s="17">
        <v>25</v>
      </c>
      <c r="P79" s="17"/>
      <c r="Q79" s="17">
        <v>0</v>
      </c>
      <c r="R79" s="17"/>
      <c r="S79" s="17">
        <v>32794</v>
      </c>
      <c r="T79" s="17"/>
      <c r="U79" s="17">
        <f>914608+12905159+459359</f>
        <v>14279126</v>
      </c>
      <c r="V79" s="17"/>
      <c r="W79" s="28">
        <f t="shared" si="16"/>
        <v>68545357</v>
      </c>
      <c r="X79" s="17"/>
      <c r="Y79" s="17">
        <v>0</v>
      </c>
      <c r="Z79" s="17"/>
      <c r="AA79" s="17">
        <v>0</v>
      </c>
      <c r="AB79" s="17"/>
      <c r="AC79" s="17">
        <v>0</v>
      </c>
      <c r="AD79" s="17"/>
      <c r="AE79" s="17">
        <v>0</v>
      </c>
      <c r="AF79" s="3" t="s">
        <v>347</v>
      </c>
      <c r="AH79" s="16" t="s">
        <v>160</v>
      </c>
      <c r="AI79" s="17"/>
      <c r="AJ79" s="17">
        <v>95042</v>
      </c>
      <c r="AK79" s="17"/>
      <c r="AL79" s="17">
        <v>575</v>
      </c>
      <c r="AM79" s="17"/>
      <c r="AN79" s="17"/>
      <c r="AO79" s="17"/>
      <c r="AP79" s="17">
        <v>0</v>
      </c>
      <c r="AQ79" s="17"/>
      <c r="AR79" s="17">
        <v>0</v>
      </c>
      <c r="AS79" s="17"/>
      <c r="AT79" s="28">
        <f t="shared" si="17"/>
        <v>95617</v>
      </c>
      <c r="AU79" s="17"/>
      <c r="AV79" s="28">
        <f t="shared" si="18"/>
        <v>68640974</v>
      </c>
      <c r="AY79" s="16" t="s">
        <v>315</v>
      </c>
      <c r="AZ79" s="3" t="str">
        <f t="shared" si="19"/>
        <v>Cuyahoga Educ Srv Ctr-now Educ Srv Ctr of Cuyahoga County</v>
      </c>
      <c r="BA79" s="3" t="b">
        <f t="shared" si="20"/>
        <v>1</v>
      </c>
      <c r="BB79" s="20" t="str">
        <f>GovBS!A79</f>
        <v>Cuyahoga Educ Srv Ctr-now Educ Srv Ctr of Cuyahoga County</v>
      </c>
      <c r="BC79" s="20" t="b">
        <f t="shared" si="21"/>
        <v>1</v>
      </c>
      <c r="BE79" s="20" t="str">
        <f t="shared" si="22"/>
        <v>Cuyahoga</v>
      </c>
      <c r="BF79" s="20" t="b">
        <f t="shared" si="23"/>
        <v>1</v>
      </c>
      <c r="BH79" s="20" t="b">
        <f>C79=GovBS!C79</f>
        <v>1</v>
      </c>
    </row>
    <row r="80" spans="1:63" s="66" customFormat="1" hidden="1">
      <c r="A80" s="65" t="s">
        <v>376</v>
      </c>
      <c r="C80" s="66" t="s">
        <v>161</v>
      </c>
      <c r="E80" s="66">
        <v>46615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9">
        <f t="shared" si="16"/>
        <v>0</v>
      </c>
      <c r="X80" s="67"/>
      <c r="Y80" s="67"/>
      <c r="Z80" s="67"/>
      <c r="AA80" s="67"/>
      <c r="AB80" s="67"/>
      <c r="AC80" s="67"/>
      <c r="AD80" s="67"/>
      <c r="AE80" s="67"/>
      <c r="AF80" s="65" t="s">
        <v>376</v>
      </c>
      <c r="AH80" s="66" t="s">
        <v>161</v>
      </c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9">
        <f t="shared" si="17"/>
        <v>0</v>
      </c>
      <c r="AU80" s="67"/>
      <c r="AV80" s="69">
        <f t="shared" si="18"/>
        <v>0</v>
      </c>
      <c r="AY80" s="66" t="s">
        <v>377</v>
      </c>
      <c r="AZ80" s="65" t="str">
        <f t="shared" si="19"/>
        <v>Darke County Educ Srv Ctr (CASH)</v>
      </c>
      <c r="BA80" s="65" t="b">
        <f t="shared" si="20"/>
        <v>1</v>
      </c>
      <c r="BB80" s="68" t="str">
        <f>GovBS!A80</f>
        <v>Darke County Educ Srv Ctr (CASH)</v>
      </c>
      <c r="BC80" s="68" t="b">
        <f t="shared" si="21"/>
        <v>1</v>
      </c>
      <c r="BE80" s="68" t="str">
        <f t="shared" si="22"/>
        <v>Darke</v>
      </c>
      <c r="BF80" s="68" t="b">
        <f t="shared" si="23"/>
        <v>1</v>
      </c>
      <c r="BH80" s="68" t="b">
        <f>C80=GovBS!C80</f>
        <v>1</v>
      </c>
    </row>
    <row r="81" spans="1:60" s="66" customFormat="1" hidden="1">
      <c r="A81" s="65" t="s">
        <v>346</v>
      </c>
      <c r="C81" s="66" t="s">
        <v>162</v>
      </c>
      <c r="E81" s="66">
        <v>46730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9">
        <f t="shared" si="16"/>
        <v>0</v>
      </c>
      <c r="X81" s="67"/>
      <c r="Y81" s="67"/>
      <c r="Z81" s="67"/>
      <c r="AA81" s="67"/>
      <c r="AB81" s="67"/>
      <c r="AC81" s="67"/>
      <c r="AD81" s="67"/>
      <c r="AE81" s="67"/>
      <c r="AF81" s="65" t="s">
        <v>346</v>
      </c>
      <c r="AH81" s="66" t="s">
        <v>162</v>
      </c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9">
        <f t="shared" si="17"/>
        <v>0</v>
      </c>
      <c r="AU81" s="67"/>
      <c r="AV81" s="69">
        <f t="shared" si="18"/>
        <v>0</v>
      </c>
      <c r="AY81" s="66" t="s">
        <v>316</v>
      </c>
      <c r="AZ81" s="65" t="str">
        <f t="shared" si="19"/>
        <v>Delaware-Union Educ Srv Ctr - see note to right</v>
      </c>
      <c r="BA81" s="65" t="b">
        <f t="shared" si="20"/>
        <v>1</v>
      </c>
      <c r="BB81" s="68" t="str">
        <f>GovBS!A81</f>
        <v>Delaware-Union Educ Srv Ctr - see note to right</v>
      </c>
      <c r="BC81" s="68" t="b">
        <f t="shared" si="21"/>
        <v>1</v>
      </c>
      <c r="BE81" s="68" t="str">
        <f t="shared" si="22"/>
        <v>Delaware</v>
      </c>
      <c r="BF81" s="68" t="b">
        <f t="shared" si="23"/>
        <v>1</v>
      </c>
      <c r="BH81" s="68" t="b">
        <f>C81=GovBS!C81</f>
        <v>1</v>
      </c>
    </row>
    <row r="82" spans="1:60" s="16" customFormat="1">
      <c r="A82" s="3" t="s">
        <v>344</v>
      </c>
      <c r="C82" s="16" t="s">
        <v>202</v>
      </c>
      <c r="G82" s="17">
        <v>0</v>
      </c>
      <c r="H82" s="17"/>
      <c r="I82" s="17">
        <f>1806731+756917</f>
        <v>2563648</v>
      </c>
      <c r="J82" s="17"/>
      <c r="K82" s="17">
        <v>3385</v>
      </c>
      <c r="L82" s="17"/>
      <c r="M82" s="17">
        <v>2099752</v>
      </c>
      <c r="N82" s="17"/>
      <c r="O82" s="17">
        <v>0</v>
      </c>
      <c r="P82" s="17"/>
      <c r="Q82" s="17">
        <v>0</v>
      </c>
      <c r="R82" s="17"/>
      <c r="S82" s="17">
        <v>1000</v>
      </c>
      <c r="T82" s="17"/>
      <c r="U82" s="17">
        <v>4839751</v>
      </c>
      <c r="V82" s="17"/>
      <c r="W82" s="28">
        <f t="shared" si="16"/>
        <v>9507536</v>
      </c>
      <c r="X82" s="17"/>
      <c r="Y82" s="17">
        <v>0</v>
      </c>
      <c r="Z82" s="17"/>
      <c r="AA82" s="17">
        <v>0</v>
      </c>
      <c r="AB82" s="17"/>
      <c r="AC82" s="17">
        <v>0</v>
      </c>
      <c r="AD82" s="17"/>
      <c r="AE82" s="17">
        <v>0</v>
      </c>
      <c r="AF82" s="3" t="s">
        <v>344</v>
      </c>
      <c r="AH82" s="16" t="s">
        <v>202</v>
      </c>
      <c r="AI82" s="17"/>
      <c r="AJ82" s="17">
        <v>0</v>
      </c>
      <c r="AK82" s="17"/>
      <c r="AL82" s="17">
        <v>0</v>
      </c>
      <c r="AM82" s="17"/>
      <c r="AN82" s="17">
        <v>0</v>
      </c>
      <c r="AO82" s="17"/>
      <c r="AP82" s="17">
        <v>0</v>
      </c>
      <c r="AQ82" s="17"/>
      <c r="AR82" s="17">
        <v>0</v>
      </c>
      <c r="AS82" s="17"/>
      <c r="AT82" s="28">
        <f t="shared" si="17"/>
        <v>0</v>
      </c>
      <c r="AU82" s="17"/>
      <c r="AV82" s="28">
        <f t="shared" si="18"/>
        <v>9507536</v>
      </c>
      <c r="AY82" s="16" t="s">
        <v>317</v>
      </c>
      <c r="AZ82" s="3" t="str">
        <f t="shared" si="19"/>
        <v>East Central Ohio Educ Srv Ctr</v>
      </c>
      <c r="BA82" s="3" t="b">
        <f t="shared" si="20"/>
        <v>1</v>
      </c>
      <c r="BB82" s="20" t="str">
        <f>GovBS!A82</f>
        <v>East Central Ohio Educ Srv Ctr</v>
      </c>
      <c r="BC82" s="20" t="b">
        <f t="shared" si="21"/>
        <v>1</v>
      </c>
      <c r="BE82" s="20" t="str">
        <f t="shared" si="22"/>
        <v>Tuscarawas</v>
      </c>
      <c r="BF82" s="20" t="b">
        <f t="shared" si="23"/>
        <v>1</v>
      </c>
      <c r="BH82" s="20" t="b">
        <f>C82=GovBS!C82</f>
        <v>1</v>
      </c>
    </row>
    <row r="83" spans="1:60" s="16" customFormat="1">
      <c r="A83" s="3" t="s">
        <v>382</v>
      </c>
      <c r="C83" s="16" t="s">
        <v>165</v>
      </c>
      <c r="E83" s="16">
        <v>46938</v>
      </c>
      <c r="G83" s="17">
        <v>0</v>
      </c>
      <c r="H83" s="17"/>
      <c r="I83" s="17">
        <f>435314+7437237+5440468</f>
        <v>13313019</v>
      </c>
      <c r="J83" s="17"/>
      <c r="K83" s="17">
        <v>53989</v>
      </c>
      <c r="L83" s="17"/>
      <c r="M83" s="17">
        <v>16760635</v>
      </c>
      <c r="N83" s="17"/>
      <c r="O83" s="17">
        <v>0</v>
      </c>
      <c r="P83" s="17"/>
      <c r="Q83" s="17">
        <v>0</v>
      </c>
      <c r="R83" s="17"/>
      <c r="S83" s="17">
        <v>264587</v>
      </c>
      <c r="T83" s="17"/>
      <c r="U83" s="17">
        <f>32627156+85288+42766</f>
        <v>32755210</v>
      </c>
      <c r="V83" s="17"/>
      <c r="W83" s="28">
        <f t="shared" si="16"/>
        <v>63147440</v>
      </c>
      <c r="X83" s="17"/>
      <c r="Y83" s="17">
        <v>85039</v>
      </c>
      <c r="Z83" s="17"/>
      <c r="AA83" s="17">
        <v>0</v>
      </c>
      <c r="AB83" s="17"/>
      <c r="AC83" s="17">
        <v>0</v>
      </c>
      <c r="AD83" s="17"/>
      <c r="AE83" s="17">
        <v>0</v>
      </c>
      <c r="AF83" s="3" t="s">
        <v>382</v>
      </c>
      <c r="AH83" s="16" t="s">
        <v>165</v>
      </c>
      <c r="AI83" s="17"/>
      <c r="AJ83" s="17">
        <v>0</v>
      </c>
      <c r="AK83" s="17"/>
      <c r="AL83" s="17">
        <v>0</v>
      </c>
      <c r="AM83" s="17"/>
      <c r="AN83" s="17">
        <v>0</v>
      </c>
      <c r="AO83" s="17"/>
      <c r="AP83" s="17">
        <v>0</v>
      </c>
      <c r="AQ83" s="17"/>
      <c r="AR83" s="17">
        <v>0</v>
      </c>
      <c r="AS83" s="17"/>
      <c r="AT83" s="28">
        <f t="shared" si="17"/>
        <v>85039</v>
      </c>
      <c r="AU83" s="17"/>
      <c r="AV83" s="28">
        <f t="shared" si="18"/>
        <v>63232479</v>
      </c>
      <c r="AY83" s="16" t="s">
        <v>319</v>
      </c>
      <c r="AZ83" s="3" t="str">
        <f t="shared" si="19"/>
        <v>Educational Service Center of Central Ohio</v>
      </c>
      <c r="BA83" s="3" t="b">
        <f t="shared" si="20"/>
        <v>1</v>
      </c>
      <c r="BB83" s="20" t="str">
        <f>GovBS!A83</f>
        <v>Educational Service Center of Central Ohio</v>
      </c>
      <c r="BC83" s="20" t="b">
        <f>AZ83=BB83</f>
        <v>1</v>
      </c>
      <c r="BE83" s="20" t="str">
        <f t="shared" si="22"/>
        <v>Franklin</v>
      </c>
      <c r="BF83" s="20" t="b">
        <f t="shared" si="23"/>
        <v>1</v>
      </c>
      <c r="BH83" s="20" t="b">
        <f>C83=GovBS!C83</f>
        <v>1</v>
      </c>
    </row>
    <row r="84" spans="1:60" s="66" customFormat="1" hidden="1">
      <c r="A84" s="66" t="s">
        <v>292</v>
      </c>
      <c r="C84" s="66" t="s">
        <v>163</v>
      </c>
      <c r="E84" s="66">
        <v>125690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9">
        <f t="shared" si="16"/>
        <v>0</v>
      </c>
      <c r="X84" s="67"/>
      <c r="Y84" s="67"/>
      <c r="Z84" s="67"/>
      <c r="AA84" s="67"/>
      <c r="AB84" s="67"/>
      <c r="AC84" s="67"/>
      <c r="AD84" s="67"/>
      <c r="AE84" s="67"/>
      <c r="AF84" s="66" t="s">
        <v>292</v>
      </c>
      <c r="AH84" s="66" t="s">
        <v>163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9">
        <f t="shared" si="17"/>
        <v>0</v>
      </c>
      <c r="AU84" s="67"/>
      <c r="AV84" s="69">
        <f t="shared" si="18"/>
        <v>0</v>
      </c>
      <c r="AY84" s="66" t="s">
        <v>318</v>
      </c>
      <c r="AZ84" s="65" t="str">
        <f t="shared" si="19"/>
        <v>Erie-Huron-Ottawa Educ Srv Ctr-now North Point ESC</v>
      </c>
      <c r="BA84" s="65" t="b">
        <f t="shared" si="20"/>
        <v>1</v>
      </c>
      <c r="BB84" s="68" t="str">
        <f>GovBS!A84</f>
        <v>Erie-Huron-Ottawa Educ Srv Ctr-now North Point ESC</v>
      </c>
      <c r="BC84" s="68" t="b">
        <f t="shared" si="21"/>
        <v>1</v>
      </c>
      <c r="BE84" s="68" t="str">
        <f t="shared" si="22"/>
        <v>Erie</v>
      </c>
      <c r="BF84" s="68" t="b">
        <f t="shared" si="23"/>
        <v>1</v>
      </c>
      <c r="BH84" s="68" t="b">
        <f>C84=GovBS!C84</f>
        <v>1</v>
      </c>
    </row>
    <row r="85" spans="1:60" s="16" customFormat="1">
      <c r="A85" s="3" t="s">
        <v>385</v>
      </c>
      <c r="C85" s="16" t="s">
        <v>164</v>
      </c>
      <c r="E85" s="16">
        <v>46839</v>
      </c>
      <c r="G85" s="17">
        <v>0</v>
      </c>
      <c r="H85" s="17"/>
      <c r="I85" s="17">
        <v>1436200</v>
      </c>
      <c r="J85" s="17"/>
      <c r="K85" s="17">
        <v>2748</v>
      </c>
      <c r="L85" s="17"/>
      <c r="M85" s="17">
        <v>5875279</v>
      </c>
      <c r="N85" s="17"/>
      <c r="O85" s="17">
        <v>0</v>
      </c>
      <c r="P85" s="17"/>
      <c r="Q85" s="17">
        <v>0</v>
      </c>
      <c r="R85" s="17"/>
      <c r="S85" s="17">
        <v>0</v>
      </c>
      <c r="T85" s="17"/>
      <c r="U85" s="17">
        <f>995184+8049</f>
        <v>1003233</v>
      </c>
      <c r="V85" s="17"/>
      <c r="W85" s="28">
        <f t="shared" si="16"/>
        <v>8317460</v>
      </c>
      <c r="X85" s="17"/>
      <c r="Y85" s="17">
        <v>0</v>
      </c>
      <c r="Z85" s="17"/>
      <c r="AA85" s="17">
        <v>0</v>
      </c>
      <c r="AB85" s="17"/>
      <c r="AC85" s="17">
        <v>0</v>
      </c>
      <c r="AD85" s="17"/>
      <c r="AE85" s="17">
        <v>0</v>
      </c>
      <c r="AF85" s="3" t="s">
        <v>385</v>
      </c>
      <c r="AH85" s="16" t="s">
        <v>164</v>
      </c>
      <c r="AI85" s="17"/>
      <c r="AJ85" s="17">
        <v>0</v>
      </c>
      <c r="AK85" s="17"/>
      <c r="AL85" s="17">
        <v>0</v>
      </c>
      <c r="AM85" s="17"/>
      <c r="AN85" s="17">
        <v>0</v>
      </c>
      <c r="AO85" s="17"/>
      <c r="AP85" s="17">
        <v>0</v>
      </c>
      <c r="AQ85" s="17"/>
      <c r="AR85" s="17">
        <v>0</v>
      </c>
      <c r="AS85" s="17"/>
      <c r="AT85" s="28">
        <f t="shared" si="17"/>
        <v>0</v>
      </c>
      <c r="AU85" s="17"/>
      <c r="AV85" s="28">
        <f t="shared" si="18"/>
        <v>8317460</v>
      </c>
      <c r="AZ85" s="3" t="str">
        <f t="shared" si="19"/>
        <v>Fairfield County Educ Srv Ctr</v>
      </c>
      <c r="BA85" s="3" t="b">
        <f t="shared" si="20"/>
        <v>1</v>
      </c>
      <c r="BB85" s="20" t="str">
        <f>GovBS!A85</f>
        <v>Fairfield County Educ Srv Ctr</v>
      </c>
      <c r="BC85" s="20" t="b">
        <f t="shared" si="21"/>
        <v>1</v>
      </c>
      <c r="BE85" s="20" t="str">
        <f t="shared" si="22"/>
        <v>Fairfield</v>
      </c>
      <c r="BF85" s="20" t="b">
        <f t="shared" si="23"/>
        <v>1</v>
      </c>
      <c r="BH85" s="20" t="b">
        <f>C85=GovBS!C85</f>
        <v>1</v>
      </c>
    </row>
    <row r="86" spans="1:60" s="16" customFormat="1">
      <c r="A86" s="3" t="s">
        <v>167</v>
      </c>
      <c r="C86" s="16" t="s">
        <v>168</v>
      </c>
      <c r="E86" s="16">
        <v>125682</v>
      </c>
      <c r="G86" s="17">
        <v>0</v>
      </c>
      <c r="H86" s="17"/>
      <c r="I86" s="17">
        <v>2479522</v>
      </c>
      <c r="J86" s="17"/>
      <c r="K86" s="17">
        <v>40517</v>
      </c>
      <c r="L86" s="17"/>
      <c r="M86" s="17">
        <v>112246</v>
      </c>
      <c r="N86" s="17"/>
      <c r="O86" s="17">
        <v>0</v>
      </c>
      <c r="P86" s="17"/>
      <c r="Q86" s="17">
        <v>0</v>
      </c>
      <c r="R86" s="17"/>
      <c r="S86" s="17">
        <v>0</v>
      </c>
      <c r="T86" s="17"/>
      <c r="U86" s="17">
        <f>1586956+9432</f>
        <v>1596388</v>
      </c>
      <c r="V86" s="17"/>
      <c r="W86" s="28">
        <f t="shared" si="16"/>
        <v>4228673</v>
      </c>
      <c r="X86" s="17"/>
      <c r="Y86" s="17">
        <v>890</v>
      </c>
      <c r="Z86" s="17"/>
      <c r="AA86" s="17">
        <v>0</v>
      </c>
      <c r="AB86" s="17"/>
      <c r="AC86" s="17">
        <v>0</v>
      </c>
      <c r="AD86" s="17"/>
      <c r="AE86" s="17">
        <v>0</v>
      </c>
      <c r="AF86" s="3" t="s">
        <v>167</v>
      </c>
      <c r="AH86" s="16" t="s">
        <v>168</v>
      </c>
      <c r="AI86" s="17"/>
      <c r="AJ86" s="17">
        <v>0</v>
      </c>
      <c r="AK86" s="17"/>
      <c r="AL86" s="17">
        <v>0</v>
      </c>
      <c r="AM86" s="17"/>
      <c r="AN86" s="17">
        <v>0</v>
      </c>
      <c r="AO86" s="17"/>
      <c r="AP86" s="17">
        <v>0</v>
      </c>
      <c r="AQ86" s="17"/>
      <c r="AR86" s="17">
        <v>0</v>
      </c>
      <c r="AS86" s="17"/>
      <c r="AT86" s="28">
        <f t="shared" si="17"/>
        <v>890</v>
      </c>
      <c r="AU86" s="17"/>
      <c r="AV86" s="28">
        <f t="shared" si="18"/>
        <v>4229563</v>
      </c>
      <c r="AY86" s="3"/>
      <c r="AZ86" s="3" t="str">
        <f t="shared" si="19"/>
        <v>Gallia-Vinton Educ Srv Ctr</v>
      </c>
      <c r="BA86" s="3" t="b">
        <f t="shared" si="20"/>
        <v>1</v>
      </c>
      <c r="BB86" s="20" t="str">
        <f>GovBS!A86</f>
        <v>Gallia-Vinton Educ Srv Ctr</v>
      </c>
      <c r="BC86" s="20" t="b">
        <f t="shared" si="21"/>
        <v>1</v>
      </c>
      <c r="BE86" s="20" t="str">
        <f t="shared" si="22"/>
        <v>Gallia</v>
      </c>
      <c r="BF86" s="20" t="b">
        <f t="shared" si="23"/>
        <v>1</v>
      </c>
      <c r="BH86" s="20" t="b">
        <f>C86=GovBS!C86</f>
        <v>1</v>
      </c>
    </row>
    <row r="87" spans="1:60" s="16" customFormat="1">
      <c r="A87" s="88" t="s">
        <v>384</v>
      </c>
      <c r="C87" s="16" t="s">
        <v>169</v>
      </c>
      <c r="E87" s="16">
        <v>47159</v>
      </c>
      <c r="G87" s="17">
        <v>0</v>
      </c>
      <c r="H87" s="17"/>
      <c r="I87" s="17">
        <v>1149124</v>
      </c>
      <c r="J87" s="17"/>
      <c r="K87" s="17">
        <v>3555</v>
      </c>
      <c r="L87" s="17"/>
      <c r="M87" s="17">
        <v>2562545</v>
      </c>
      <c r="N87" s="17"/>
      <c r="O87" s="17">
        <v>0</v>
      </c>
      <c r="P87" s="17"/>
      <c r="Q87" s="17">
        <v>0</v>
      </c>
      <c r="R87" s="17"/>
      <c r="S87" s="17">
        <v>36792</v>
      </c>
      <c r="T87" s="17"/>
      <c r="U87" s="17">
        <v>7478655</v>
      </c>
      <c r="V87" s="17"/>
      <c r="W87" s="28">
        <f t="shared" si="16"/>
        <v>11230671</v>
      </c>
      <c r="X87" s="17"/>
      <c r="Y87" s="17">
        <v>0</v>
      </c>
      <c r="Z87" s="17"/>
      <c r="AA87" s="17">
        <v>0</v>
      </c>
      <c r="AB87" s="17"/>
      <c r="AC87" s="17">
        <v>0</v>
      </c>
      <c r="AD87" s="17"/>
      <c r="AE87" s="17">
        <v>0</v>
      </c>
      <c r="AF87" s="88" t="s">
        <v>384</v>
      </c>
      <c r="AH87" s="16" t="s">
        <v>169</v>
      </c>
      <c r="AI87" s="17"/>
      <c r="AJ87" s="17">
        <v>0</v>
      </c>
      <c r="AK87" s="17"/>
      <c r="AL87" s="17">
        <v>0</v>
      </c>
      <c r="AM87" s="17"/>
      <c r="AN87" s="17">
        <v>0</v>
      </c>
      <c r="AO87" s="17"/>
      <c r="AP87" s="17">
        <v>0</v>
      </c>
      <c r="AQ87" s="17"/>
      <c r="AR87" s="17">
        <v>0</v>
      </c>
      <c r="AS87" s="17"/>
      <c r="AT87" s="28">
        <f t="shared" si="17"/>
        <v>0</v>
      </c>
      <c r="AU87" s="17"/>
      <c r="AV87" s="28">
        <f t="shared" si="18"/>
        <v>11230671</v>
      </c>
      <c r="AY87" s="89"/>
      <c r="AZ87" s="3" t="str">
        <f t="shared" si="19"/>
        <v>Geauga County Educ Srv Ctr</v>
      </c>
      <c r="BA87" s="3" t="b">
        <f t="shared" si="20"/>
        <v>1</v>
      </c>
      <c r="BB87" s="20" t="str">
        <f>GovBS!A87</f>
        <v>Geauga County Educ Srv Ctr</v>
      </c>
      <c r="BC87" s="20" t="b">
        <f t="shared" si="21"/>
        <v>1</v>
      </c>
      <c r="BE87" s="20" t="str">
        <f t="shared" si="22"/>
        <v>Geauga</v>
      </c>
      <c r="BF87" s="20" t="b">
        <f t="shared" si="23"/>
        <v>1</v>
      </c>
      <c r="BH87" s="20" t="b">
        <f>C87=GovBS!C87</f>
        <v>1</v>
      </c>
    </row>
    <row r="88" spans="1:60" s="16" customFormat="1">
      <c r="A88" s="16" t="s">
        <v>328</v>
      </c>
      <c r="C88" s="16" t="s">
        <v>170</v>
      </c>
      <c r="E88" s="16">
        <v>47233</v>
      </c>
      <c r="G88" s="17">
        <v>0</v>
      </c>
      <c r="H88" s="17"/>
      <c r="I88" s="17">
        <v>2705477</v>
      </c>
      <c r="J88" s="17"/>
      <c r="K88" s="17">
        <v>454</v>
      </c>
      <c r="L88" s="17"/>
      <c r="M88" s="17">
        <v>10894394</v>
      </c>
      <c r="N88" s="17"/>
      <c r="O88" s="17">
        <v>0</v>
      </c>
      <c r="P88" s="17"/>
      <c r="Q88" s="17">
        <v>0</v>
      </c>
      <c r="R88" s="17"/>
      <c r="S88" s="17">
        <v>0</v>
      </c>
      <c r="T88" s="17"/>
      <c r="U88" s="17">
        <v>179579</v>
      </c>
      <c r="V88" s="17"/>
      <c r="W88" s="28">
        <f t="shared" si="16"/>
        <v>13779904</v>
      </c>
      <c r="X88" s="17"/>
      <c r="Y88" s="17">
        <v>0</v>
      </c>
      <c r="Z88" s="17"/>
      <c r="AA88" s="17">
        <v>0</v>
      </c>
      <c r="AB88" s="17"/>
      <c r="AC88" s="17">
        <v>0</v>
      </c>
      <c r="AD88" s="17"/>
      <c r="AE88" s="17">
        <v>0</v>
      </c>
      <c r="AF88" s="16" t="s">
        <v>328</v>
      </c>
      <c r="AH88" s="16" t="s">
        <v>170</v>
      </c>
      <c r="AI88" s="17"/>
      <c r="AJ88" s="17">
        <v>0</v>
      </c>
      <c r="AK88" s="17"/>
      <c r="AL88" s="17">
        <v>0</v>
      </c>
      <c r="AM88" s="17"/>
      <c r="AN88" s="17">
        <v>0</v>
      </c>
      <c r="AO88" s="17"/>
      <c r="AP88" s="17">
        <v>0</v>
      </c>
      <c r="AQ88" s="17"/>
      <c r="AR88" s="17">
        <v>0</v>
      </c>
      <c r="AS88" s="17"/>
      <c r="AT88" s="28">
        <f t="shared" si="17"/>
        <v>0</v>
      </c>
      <c r="AU88" s="17"/>
      <c r="AV88" s="28">
        <f t="shared" si="18"/>
        <v>13779904</v>
      </c>
      <c r="AY88" s="3"/>
      <c r="AZ88" s="3" t="str">
        <f t="shared" si="19"/>
        <v>Greene County Educ Srv Ctr</v>
      </c>
      <c r="BA88" s="3" t="b">
        <f t="shared" si="20"/>
        <v>1</v>
      </c>
      <c r="BB88" s="20" t="str">
        <f>GovBS!A88</f>
        <v>Greene County Educ Srv Ctr</v>
      </c>
      <c r="BC88" s="20" t="b">
        <f t="shared" si="21"/>
        <v>1</v>
      </c>
      <c r="BE88" s="20" t="str">
        <f t="shared" si="22"/>
        <v>Greene</v>
      </c>
      <c r="BF88" s="20" t="b">
        <f t="shared" si="23"/>
        <v>1</v>
      </c>
      <c r="BH88" s="20" t="b">
        <f>C88=GovBS!C88</f>
        <v>1</v>
      </c>
    </row>
    <row r="89" spans="1:60" s="16" customFormat="1">
      <c r="A89" s="16" t="s">
        <v>329</v>
      </c>
      <c r="C89" s="16" t="s">
        <v>171</v>
      </c>
      <c r="E89" s="16">
        <v>47324</v>
      </c>
      <c r="G89" s="17">
        <v>0</v>
      </c>
      <c r="H89" s="17"/>
      <c r="I89" s="17">
        <v>12180617</v>
      </c>
      <c r="J89" s="17"/>
      <c r="K89" s="17">
        <v>76265</v>
      </c>
      <c r="L89" s="17"/>
      <c r="M89" s="17">
        <f>1755737+972557+26022854</f>
        <v>28751148</v>
      </c>
      <c r="N89" s="17"/>
      <c r="O89" s="17">
        <v>0</v>
      </c>
      <c r="P89" s="17"/>
      <c r="Q89" s="17">
        <v>0</v>
      </c>
      <c r="R89" s="17"/>
      <c r="S89" s="17">
        <v>0</v>
      </c>
      <c r="T89" s="17"/>
      <c r="U89" s="17">
        <v>100177</v>
      </c>
      <c r="V89" s="17"/>
      <c r="W89" s="28">
        <f t="shared" si="16"/>
        <v>41108207</v>
      </c>
      <c r="X89" s="17"/>
      <c r="Y89" s="17">
        <v>300000</v>
      </c>
      <c r="Z89" s="17"/>
      <c r="AA89" s="17">
        <v>0</v>
      </c>
      <c r="AB89" s="17"/>
      <c r="AC89" s="17">
        <v>0</v>
      </c>
      <c r="AD89" s="17"/>
      <c r="AE89" s="17">
        <v>0</v>
      </c>
      <c r="AF89" s="16" t="s">
        <v>329</v>
      </c>
      <c r="AH89" s="16" t="s">
        <v>171</v>
      </c>
      <c r="AI89" s="17"/>
      <c r="AJ89" s="17">
        <v>0</v>
      </c>
      <c r="AK89" s="17"/>
      <c r="AL89" s="17">
        <v>0</v>
      </c>
      <c r="AM89" s="17"/>
      <c r="AN89" s="17">
        <v>0</v>
      </c>
      <c r="AO89" s="17"/>
      <c r="AP89" s="17">
        <v>0</v>
      </c>
      <c r="AQ89" s="17"/>
      <c r="AR89" s="17">
        <v>0</v>
      </c>
      <c r="AS89" s="17"/>
      <c r="AT89" s="28">
        <f t="shared" si="17"/>
        <v>300000</v>
      </c>
      <c r="AU89" s="17"/>
      <c r="AV89" s="28">
        <f t="shared" si="18"/>
        <v>41408207</v>
      </c>
      <c r="AY89" s="3"/>
      <c r="AZ89" s="3" t="str">
        <f t="shared" si="19"/>
        <v>Hamilton County Educ Srv Ctr</v>
      </c>
      <c r="BA89" s="3" t="b">
        <f t="shared" si="20"/>
        <v>1</v>
      </c>
      <c r="BB89" s="20" t="str">
        <f>GovBS!A89</f>
        <v>Hamilton County Educ Srv Ctr</v>
      </c>
      <c r="BC89" s="20" t="b">
        <f t="shared" si="21"/>
        <v>1</v>
      </c>
      <c r="BE89" s="20" t="str">
        <f t="shared" si="22"/>
        <v>Hamilton</v>
      </c>
      <c r="BF89" s="20" t="b">
        <f t="shared" si="23"/>
        <v>1</v>
      </c>
      <c r="BH89" s="20" t="b">
        <f>C89=GovBS!C89</f>
        <v>1</v>
      </c>
    </row>
    <row r="90" spans="1:60" s="16" customFormat="1">
      <c r="A90" s="16" t="s">
        <v>330</v>
      </c>
      <c r="C90" s="16" t="s">
        <v>172</v>
      </c>
      <c r="E90" s="16">
        <v>47407</v>
      </c>
      <c r="G90" s="17">
        <v>0</v>
      </c>
      <c r="H90" s="17"/>
      <c r="I90" s="17">
        <v>949128</v>
      </c>
      <c r="J90" s="17"/>
      <c r="K90" s="17">
        <v>5130</v>
      </c>
      <c r="L90" s="17"/>
      <c r="M90" s="17">
        <f>2048819+2321450</f>
        <v>4370269</v>
      </c>
      <c r="N90" s="17"/>
      <c r="O90" s="17">
        <v>0</v>
      </c>
      <c r="P90" s="17"/>
      <c r="Q90" s="17">
        <v>0</v>
      </c>
      <c r="R90" s="17"/>
      <c r="S90" s="17">
        <v>1000</v>
      </c>
      <c r="T90" s="17"/>
      <c r="U90" s="17">
        <v>35864</v>
      </c>
      <c r="V90" s="17"/>
      <c r="W90" s="28">
        <f t="shared" si="16"/>
        <v>5361391</v>
      </c>
      <c r="X90" s="17"/>
      <c r="Y90" s="17">
        <v>0</v>
      </c>
      <c r="Z90" s="17"/>
      <c r="AA90" s="17">
        <v>0</v>
      </c>
      <c r="AB90" s="17"/>
      <c r="AC90" s="17">
        <v>0</v>
      </c>
      <c r="AD90" s="17"/>
      <c r="AE90" s="17">
        <v>0</v>
      </c>
      <c r="AF90" s="16" t="s">
        <v>330</v>
      </c>
      <c r="AH90" s="16" t="s">
        <v>172</v>
      </c>
      <c r="AI90" s="17"/>
      <c r="AJ90" s="17">
        <v>0</v>
      </c>
      <c r="AK90" s="17"/>
      <c r="AL90" s="17">
        <v>0</v>
      </c>
      <c r="AM90" s="17"/>
      <c r="AN90" s="17">
        <v>0</v>
      </c>
      <c r="AO90" s="17"/>
      <c r="AP90" s="17">
        <v>0</v>
      </c>
      <c r="AQ90" s="17"/>
      <c r="AR90" s="17">
        <v>0</v>
      </c>
      <c r="AS90" s="17"/>
      <c r="AT90" s="28">
        <f t="shared" si="17"/>
        <v>0</v>
      </c>
      <c r="AU90" s="17"/>
      <c r="AV90" s="28">
        <f t="shared" si="18"/>
        <v>5361391</v>
      </c>
      <c r="AY90" s="3"/>
      <c r="AZ90" s="3" t="str">
        <f t="shared" si="19"/>
        <v>Hancock County Educ Srv Ctr</v>
      </c>
      <c r="BA90" s="3" t="b">
        <f t="shared" si="20"/>
        <v>1</v>
      </c>
      <c r="BB90" s="20" t="str">
        <f>GovBS!A90</f>
        <v>Hancock County Educ Srv Ctr</v>
      </c>
      <c r="BC90" s="20" t="b">
        <f t="shared" si="21"/>
        <v>1</v>
      </c>
      <c r="BE90" s="20" t="str">
        <f t="shared" si="22"/>
        <v>Hancock</v>
      </c>
      <c r="BF90" s="20" t="b">
        <f t="shared" si="23"/>
        <v>1</v>
      </c>
      <c r="BH90" s="20" t="b">
        <f>C90=GovBS!C90</f>
        <v>1</v>
      </c>
    </row>
    <row r="91" spans="1:60" s="16" customFormat="1">
      <c r="A91" s="16" t="s">
        <v>331</v>
      </c>
      <c r="C91" s="16" t="s">
        <v>21</v>
      </c>
      <c r="E91" s="16">
        <v>47480</v>
      </c>
      <c r="G91" s="17">
        <v>0</v>
      </c>
      <c r="H91" s="17"/>
      <c r="I91" s="17">
        <v>999856</v>
      </c>
      <c r="J91" s="17"/>
      <c r="K91" s="17">
        <v>979</v>
      </c>
      <c r="L91" s="17"/>
      <c r="M91" s="17">
        <v>1513243</v>
      </c>
      <c r="N91" s="17"/>
      <c r="O91" s="17">
        <v>0</v>
      </c>
      <c r="P91" s="17"/>
      <c r="Q91" s="17">
        <v>0</v>
      </c>
      <c r="R91" s="17"/>
      <c r="S91" s="17">
        <v>0</v>
      </c>
      <c r="T91" s="17"/>
      <c r="U91" s="17">
        <v>126722</v>
      </c>
      <c r="V91" s="17"/>
      <c r="W91" s="28">
        <f t="shared" si="16"/>
        <v>2640800</v>
      </c>
      <c r="X91" s="17"/>
      <c r="Y91" s="17">
        <v>0</v>
      </c>
      <c r="Z91" s="17"/>
      <c r="AA91" s="17">
        <v>0</v>
      </c>
      <c r="AB91" s="17"/>
      <c r="AC91" s="17">
        <v>0</v>
      </c>
      <c r="AD91" s="17"/>
      <c r="AE91" s="17">
        <v>0</v>
      </c>
      <c r="AF91" s="16" t="s">
        <v>331</v>
      </c>
      <c r="AH91" s="16" t="s">
        <v>21</v>
      </c>
      <c r="AI91" s="17"/>
      <c r="AJ91" s="17">
        <v>0</v>
      </c>
      <c r="AK91" s="17"/>
      <c r="AL91" s="17">
        <v>0</v>
      </c>
      <c r="AM91" s="17"/>
      <c r="AN91" s="17">
        <v>0</v>
      </c>
      <c r="AO91" s="17"/>
      <c r="AP91" s="17">
        <v>0</v>
      </c>
      <c r="AQ91" s="17"/>
      <c r="AR91" s="17">
        <v>0</v>
      </c>
      <c r="AS91" s="17"/>
      <c r="AT91" s="28">
        <f t="shared" si="17"/>
        <v>0</v>
      </c>
      <c r="AU91" s="17"/>
      <c r="AV91" s="28">
        <f t="shared" si="18"/>
        <v>2640800</v>
      </c>
      <c r="AY91" s="3"/>
      <c r="AZ91" s="3" t="str">
        <f t="shared" si="19"/>
        <v>Hardin County Educ Srv Ctr</v>
      </c>
      <c r="BA91" s="3" t="b">
        <f t="shared" si="20"/>
        <v>1</v>
      </c>
      <c r="BB91" s="20" t="str">
        <f>GovBS!A91</f>
        <v>Hardin County Educ Srv Ctr</v>
      </c>
      <c r="BC91" s="20" t="b">
        <f t="shared" si="21"/>
        <v>1</v>
      </c>
      <c r="BE91" s="20" t="str">
        <f t="shared" si="22"/>
        <v>Hardin</v>
      </c>
      <c r="BF91" s="20" t="b">
        <f t="shared" si="23"/>
        <v>1</v>
      </c>
      <c r="BH91" s="20" t="b">
        <f>C91=GovBS!C91</f>
        <v>1</v>
      </c>
    </row>
    <row r="92" spans="1:60" s="16" customFormat="1">
      <c r="A92" s="16" t="s">
        <v>332</v>
      </c>
      <c r="C92" s="16" t="s">
        <v>173</v>
      </c>
      <c r="E92" s="16">
        <v>47779</v>
      </c>
      <c r="G92" s="17">
        <v>0</v>
      </c>
      <c r="H92" s="17"/>
      <c r="I92" s="17">
        <f>61315+847521+74243</f>
        <v>983079</v>
      </c>
      <c r="J92" s="17"/>
      <c r="K92" s="17">
        <v>3327</v>
      </c>
      <c r="L92" s="17"/>
      <c r="M92" s="17">
        <f>4783647+736395</f>
        <v>5520042</v>
      </c>
      <c r="N92" s="17"/>
      <c r="O92" s="17">
        <v>0</v>
      </c>
      <c r="P92" s="17"/>
      <c r="Q92" s="17">
        <v>0</v>
      </c>
      <c r="R92" s="17"/>
      <c r="S92" s="17">
        <v>0</v>
      </c>
      <c r="T92" s="17"/>
      <c r="U92" s="17">
        <v>228436</v>
      </c>
      <c r="V92" s="17"/>
      <c r="W92" s="28">
        <f t="shared" si="16"/>
        <v>6734884</v>
      </c>
      <c r="X92" s="17"/>
      <c r="Y92" s="17">
        <v>51749</v>
      </c>
      <c r="Z92" s="17"/>
      <c r="AA92" s="17">
        <v>0</v>
      </c>
      <c r="AB92" s="17"/>
      <c r="AC92" s="17">
        <v>0</v>
      </c>
      <c r="AD92" s="17"/>
      <c r="AE92" s="17">
        <v>0</v>
      </c>
      <c r="AF92" s="16" t="s">
        <v>332</v>
      </c>
      <c r="AH92" s="16" t="s">
        <v>173</v>
      </c>
      <c r="AI92" s="17"/>
      <c r="AJ92" s="17">
        <v>0</v>
      </c>
      <c r="AK92" s="17"/>
      <c r="AL92" s="17">
        <v>0</v>
      </c>
      <c r="AM92" s="17"/>
      <c r="AN92" s="17"/>
      <c r="AO92" s="17"/>
      <c r="AP92" s="17">
        <v>0</v>
      </c>
      <c r="AQ92" s="17"/>
      <c r="AR92" s="17">
        <v>0</v>
      </c>
      <c r="AS92" s="17"/>
      <c r="AT92" s="28">
        <f t="shared" si="17"/>
        <v>51749</v>
      </c>
      <c r="AU92" s="17"/>
      <c r="AV92" s="28">
        <f t="shared" si="18"/>
        <v>6786633</v>
      </c>
      <c r="AY92" s="3"/>
      <c r="AZ92" s="3" t="str">
        <f t="shared" si="19"/>
        <v>Jefferson County Educ Srv Ctr</v>
      </c>
      <c r="BA92" s="3" t="b">
        <f t="shared" si="20"/>
        <v>1</v>
      </c>
      <c r="BB92" s="20" t="str">
        <f>GovBS!A92</f>
        <v>Jefferson County Educ Srv Ctr</v>
      </c>
      <c r="BC92" s="20" t="b">
        <f t="shared" si="21"/>
        <v>1</v>
      </c>
      <c r="BE92" s="20" t="str">
        <f t="shared" si="22"/>
        <v>Jefferson</v>
      </c>
      <c r="BF92" s="20" t="b">
        <f t="shared" si="23"/>
        <v>1</v>
      </c>
      <c r="BH92" s="20" t="b">
        <f>C92=GovBS!C92</f>
        <v>1</v>
      </c>
    </row>
    <row r="93" spans="1:60" s="16" customFormat="1">
      <c r="A93" s="16" t="s">
        <v>333</v>
      </c>
      <c r="C93" s="16" t="s">
        <v>174</v>
      </c>
      <c r="E93" s="16">
        <v>47811</v>
      </c>
      <c r="G93" s="17">
        <v>0</v>
      </c>
      <c r="H93" s="17"/>
      <c r="I93" s="17">
        <v>1361954</v>
      </c>
      <c r="J93" s="17"/>
      <c r="K93" s="17">
        <v>4593</v>
      </c>
      <c r="L93" s="17"/>
      <c r="M93" s="17">
        <f>244914+4458766</f>
        <v>4703680</v>
      </c>
      <c r="N93" s="17"/>
      <c r="O93" s="17">
        <v>8700</v>
      </c>
      <c r="P93" s="17"/>
      <c r="Q93" s="17">
        <v>0</v>
      </c>
      <c r="R93" s="17"/>
      <c r="S93" s="17">
        <v>22023</v>
      </c>
      <c r="T93" s="17"/>
      <c r="U93" s="17">
        <v>337</v>
      </c>
      <c r="V93" s="17"/>
      <c r="W93" s="28">
        <f t="shared" si="16"/>
        <v>6101287</v>
      </c>
      <c r="X93" s="17"/>
      <c r="Y93" s="17">
        <v>0</v>
      </c>
      <c r="Z93" s="17"/>
      <c r="AA93" s="17">
        <v>0</v>
      </c>
      <c r="AB93" s="17"/>
      <c r="AC93" s="17">
        <v>0</v>
      </c>
      <c r="AD93" s="17"/>
      <c r="AE93" s="17">
        <v>0</v>
      </c>
      <c r="AF93" s="16" t="s">
        <v>333</v>
      </c>
      <c r="AH93" s="16" t="s">
        <v>174</v>
      </c>
      <c r="AI93" s="17"/>
      <c r="AJ93" s="17">
        <v>0</v>
      </c>
      <c r="AK93" s="17"/>
      <c r="AL93" s="17">
        <v>0</v>
      </c>
      <c r="AM93" s="17"/>
      <c r="AN93" s="17"/>
      <c r="AO93" s="17"/>
      <c r="AP93" s="17">
        <v>0</v>
      </c>
      <c r="AQ93" s="17"/>
      <c r="AR93" s="17">
        <v>0</v>
      </c>
      <c r="AS93" s="17"/>
      <c r="AT93" s="28">
        <f t="shared" si="17"/>
        <v>0</v>
      </c>
      <c r="AU93" s="17"/>
      <c r="AV93" s="28">
        <f t="shared" si="18"/>
        <v>6101287</v>
      </c>
      <c r="AY93" s="3"/>
      <c r="AZ93" s="3" t="str">
        <f t="shared" si="19"/>
        <v>Knox County Educ Srv Ctr</v>
      </c>
      <c r="BA93" s="3" t="b">
        <f t="shared" si="20"/>
        <v>1</v>
      </c>
      <c r="BB93" s="20" t="str">
        <f>GovBS!A93</f>
        <v>Knox County Educ Srv Ctr</v>
      </c>
      <c r="BC93" s="20" t="b">
        <f t="shared" si="21"/>
        <v>1</v>
      </c>
      <c r="BE93" s="20" t="str">
        <f t="shared" si="22"/>
        <v>Knox</v>
      </c>
      <c r="BF93" s="20" t="b">
        <f t="shared" si="23"/>
        <v>1</v>
      </c>
      <c r="BH93" s="20" t="b">
        <f>C93=GovBS!C93</f>
        <v>1</v>
      </c>
    </row>
    <row r="94" spans="1:60" s="16" customFormat="1">
      <c r="A94" s="16" t="s">
        <v>334</v>
      </c>
      <c r="C94" s="16" t="s">
        <v>149</v>
      </c>
      <c r="E94" s="16">
        <v>47860</v>
      </c>
      <c r="G94" s="17">
        <v>5062660</v>
      </c>
      <c r="H94" s="17"/>
      <c r="I94" s="17">
        <v>5402688</v>
      </c>
      <c r="J94" s="17"/>
      <c r="K94" s="17">
        <v>72</v>
      </c>
      <c r="L94" s="17"/>
      <c r="M94" s="17">
        <f>3347488+5119995</f>
        <v>8467483</v>
      </c>
      <c r="N94" s="17"/>
      <c r="O94" s="17">
        <v>76752</v>
      </c>
      <c r="P94" s="17"/>
      <c r="Q94" s="17">
        <v>0</v>
      </c>
      <c r="R94" s="17"/>
      <c r="S94" s="17">
        <v>0</v>
      </c>
      <c r="T94" s="17"/>
      <c r="U94" s="17">
        <v>352420</v>
      </c>
      <c r="V94" s="17"/>
      <c r="W94" s="28">
        <f t="shared" si="16"/>
        <v>19362075</v>
      </c>
      <c r="X94" s="17"/>
      <c r="Y94" s="17">
        <v>1529</v>
      </c>
      <c r="Z94" s="17"/>
      <c r="AA94" s="17">
        <v>0</v>
      </c>
      <c r="AB94" s="17"/>
      <c r="AC94" s="17">
        <v>0</v>
      </c>
      <c r="AD94" s="17"/>
      <c r="AE94" s="17">
        <v>0</v>
      </c>
      <c r="AF94" s="16" t="s">
        <v>334</v>
      </c>
      <c r="AH94" s="16" t="s">
        <v>149</v>
      </c>
      <c r="AI94" s="17"/>
      <c r="AJ94" s="17">
        <v>0</v>
      </c>
      <c r="AK94" s="17"/>
      <c r="AL94" s="17">
        <v>0</v>
      </c>
      <c r="AM94" s="17"/>
      <c r="AN94" s="17"/>
      <c r="AO94" s="17"/>
      <c r="AP94" s="17">
        <v>0</v>
      </c>
      <c r="AQ94" s="17"/>
      <c r="AR94" s="17">
        <v>0</v>
      </c>
      <c r="AS94" s="17"/>
      <c r="AT94" s="28">
        <f t="shared" si="17"/>
        <v>1529</v>
      </c>
      <c r="AU94" s="17"/>
      <c r="AV94" s="28">
        <f t="shared" si="18"/>
        <v>19363604</v>
      </c>
      <c r="AY94" s="16" t="s">
        <v>387</v>
      </c>
      <c r="AZ94" s="3" t="str">
        <f t="shared" si="19"/>
        <v>Lake County Educ Srv Ctr</v>
      </c>
      <c r="BA94" s="3" t="b">
        <f t="shared" si="20"/>
        <v>1</v>
      </c>
      <c r="BB94" s="20" t="str">
        <f>GovBS!A94</f>
        <v>Lake County Educ Srv Ctr</v>
      </c>
      <c r="BC94" s="20" t="b">
        <f t="shared" si="21"/>
        <v>1</v>
      </c>
      <c r="BE94" s="20" t="str">
        <f t="shared" si="22"/>
        <v>Lake</v>
      </c>
      <c r="BF94" s="20" t="b">
        <f t="shared" si="23"/>
        <v>1</v>
      </c>
      <c r="BH94" s="20" t="b">
        <f>C94=GovBS!C94</f>
        <v>1</v>
      </c>
    </row>
    <row r="95" spans="1:60" s="16" customFormat="1">
      <c r="A95" s="16" t="s">
        <v>335</v>
      </c>
      <c r="C95" s="16" t="s">
        <v>175</v>
      </c>
      <c r="E95" s="16">
        <v>47910</v>
      </c>
      <c r="G95" s="17">
        <v>0</v>
      </c>
      <c r="H95" s="17"/>
      <c r="I95" s="17">
        <v>474701</v>
      </c>
      <c r="J95" s="17"/>
      <c r="K95" s="17">
        <v>0</v>
      </c>
      <c r="L95" s="17"/>
      <c r="M95" s="17">
        <f>798751+557248+810</f>
        <v>1356809</v>
      </c>
      <c r="N95" s="17"/>
      <c r="O95" s="17">
        <v>0</v>
      </c>
      <c r="P95" s="17"/>
      <c r="Q95" s="17">
        <v>0</v>
      </c>
      <c r="R95" s="17"/>
      <c r="S95" s="17">
        <v>0</v>
      </c>
      <c r="T95" s="17"/>
      <c r="U95" s="17">
        <v>45289</v>
      </c>
      <c r="V95" s="17"/>
      <c r="W95" s="28">
        <f t="shared" si="16"/>
        <v>1876799</v>
      </c>
      <c r="X95" s="17"/>
      <c r="Y95" s="17">
        <v>2855</v>
      </c>
      <c r="Z95" s="17"/>
      <c r="AA95" s="17">
        <v>0</v>
      </c>
      <c r="AB95" s="17"/>
      <c r="AC95" s="17">
        <v>0</v>
      </c>
      <c r="AD95" s="17"/>
      <c r="AE95" s="17">
        <v>0</v>
      </c>
      <c r="AF95" s="16" t="s">
        <v>335</v>
      </c>
      <c r="AH95" s="16" t="s">
        <v>175</v>
      </c>
      <c r="AI95" s="17"/>
      <c r="AJ95" s="17">
        <v>0</v>
      </c>
      <c r="AK95" s="17"/>
      <c r="AL95" s="17">
        <v>0</v>
      </c>
      <c r="AM95" s="17"/>
      <c r="AN95" s="17"/>
      <c r="AO95" s="17"/>
      <c r="AP95" s="17">
        <v>0</v>
      </c>
      <c r="AQ95" s="17"/>
      <c r="AR95" s="17">
        <v>0</v>
      </c>
      <c r="AS95" s="17"/>
      <c r="AT95" s="28">
        <f t="shared" si="17"/>
        <v>2855</v>
      </c>
      <c r="AU95" s="17"/>
      <c r="AV95" s="28">
        <f t="shared" si="18"/>
        <v>1879654</v>
      </c>
      <c r="AY95" s="90" t="s">
        <v>320</v>
      </c>
      <c r="AZ95" s="3" t="str">
        <f t="shared" si="19"/>
        <v>Lawrence County Educ Srv Ctr</v>
      </c>
      <c r="BA95" s="3" t="b">
        <f t="shared" si="20"/>
        <v>1</v>
      </c>
      <c r="BB95" s="20" t="str">
        <f>GovBS!A95</f>
        <v>Lawrence County Educ Srv Ctr</v>
      </c>
      <c r="BC95" s="20" t="b">
        <f t="shared" si="21"/>
        <v>1</v>
      </c>
      <c r="BE95" s="20" t="str">
        <f t="shared" si="22"/>
        <v>Lawrence</v>
      </c>
      <c r="BF95" s="20" t="b">
        <f t="shared" si="23"/>
        <v>1</v>
      </c>
      <c r="BH95" s="20" t="b">
        <f>C95=GovBS!C95</f>
        <v>1</v>
      </c>
    </row>
    <row r="96" spans="1:60" s="16" customFormat="1">
      <c r="A96" s="3" t="s">
        <v>336</v>
      </c>
      <c r="B96" s="3"/>
      <c r="C96" s="3" t="s">
        <v>176</v>
      </c>
      <c r="G96" s="17">
        <v>0</v>
      </c>
      <c r="H96" s="17"/>
      <c r="I96" s="17">
        <v>2184841</v>
      </c>
      <c r="J96" s="17"/>
      <c r="K96" s="17">
        <v>2009</v>
      </c>
      <c r="L96" s="17"/>
      <c r="M96" s="17">
        <f>8501843+345994</f>
        <v>8847837</v>
      </c>
      <c r="N96" s="17"/>
      <c r="O96" s="17">
        <v>0</v>
      </c>
      <c r="P96" s="17"/>
      <c r="Q96" s="17">
        <v>0</v>
      </c>
      <c r="R96" s="17"/>
      <c r="S96" s="17">
        <v>50839</v>
      </c>
      <c r="T96" s="17"/>
      <c r="U96" s="17">
        <v>1741</v>
      </c>
      <c r="V96" s="17"/>
      <c r="W96" s="28">
        <f t="shared" si="16"/>
        <v>11087267</v>
      </c>
      <c r="X96" s="17"/>
      <c r="Y96" s="17">
        <v>0</v>
      </c>
      <c r="Z96" s="17"/>
      <c r="AA96" s="17">
        <v>0</v>
      </c>
      <c r="AB96" s="17"/>
      <c r="AC96" s="17">
        <v>0</v>
      </c>
      <c r="AD96" s="17"/>
      <c r="AE96" s="17">
        <v>0</v>
      </c>
      <c r="AF96" s="3" t="s">
        <v>336</v>
      </c>
      <c r="AG96" s="3"/>
      <c r="AH96" s="3" t="s">
        <v>176</v>
      </c>
      <c r="AI96" s="17"/>
      <c r="AJ96" s="17">
        <v>53625</v>
      </c>
      <c r="AK96" s="17"/>
      <c r="AL96" s="17">
        <v>0</v>
      </c>
      <c r="AM96" s="17"/>
      <c r="AN96" s="17"/>
      <c r="AO96" s="17"/>
      <c r="AP96" s="17">
        <v>0</v>
      </c>
      <c r="AQ96" s="17"/>
      <c r="AR96" s="17">
        <v>0</v>
      </c>
      <c r="AS96" s="17"/>
      <c r="AT96" s="28">
        <f t="shared" si="17"/>
        <v>53625</v>
      </c>
      <c r="AU96" s="17"/>
      <c r="AV96" s="28">
        <f t="shared" si="18"/>
        <v>11140892</v>
      </c>
      <c r="AY96" s="3"/>
      <c r="AZ96" s="3" t="str">
        <f t="shared" si="19"/>
        <v>Licking County Educ Srv Ctr</v>
      </c>
      <c r="BA96" s="3" t="b">
        <f t="shared" si="20"/>
        <v>1</v>
      </c>
      <c r="BB96" s="20" t="str">
        <f>GovBS!A96</f>
        <v>Licking County Educ Srv Ctr</v>
      </c>
      <c r="BC96" s="20" t="b">
        <f t="shared" si="21"/>
        <v>1</v>
      </c>
      <c r="BE96" s="20" t="str">
        <f t="shared" si="22"/>
        <v>Licking</v>
      </c>
      <c r="BF96" s="20" t="b">
        <f t="shared" si="23"/>
        <v>1</v>
      </c>
      <c r="BH96" s="20" t="b">
        <f>C96=GovBS!C96</f>
        <v>1</v>
      </c>
    </row>
    <row r="97" spans="1:60" s="16" customFormat="1">
      <c r="A97" s="16" t="s">
        <v>337</v>
      </c>
      <c r="C97" s="16" t="s">
        <v>177</v>
      </c>
      <c r="E97" s="16">
        <v>48058</v>
      </c>
      <c r="G97" s="17">
        <v>0</v>
      </c>
      <c r="H97" s="17"/>
      <c r="I97" s="17">
        <v>296508</v>
      </c>
      <c r="J97" s="17"/>
      <c r="K97" s="17">
        <v>397</v>
      </c>
      <c r="L97" s="17"/>
      <c r="M97" s="17">
        <f>2567465+685047</f>
        <v>3252512</v>
      </c>
      <c r="N97" s="17"/>
      <c r="O97" s="17">
        <v>0</v>
      </c>
      <c r="P97" s="17"/>
      <c r="Q97" s="17">
        <v>0</v>
      </c>
      <c r="R97" s="17"/>
      <c r="S97" s="17">
        <v>20290</v>
      </c>
      <c r="T97" s="17"/>
      <c r="U97" s="17">
        <v>68534</v>
      </c>
      <c r="V97" s="17"/>
      <c r="W97" s="28">
        <f t="shared" si="16"/>
        <v>3638241</v>
      </c>
      <c r="X97" s="17"/>
      <c r="Y97" s="17">
        <v>0</v>
      </c>
      <c r="Z97" s="17"/>
      <c r="AA97" s="17">
        <v>0</v>
      </c>
      <c r="AB97" s="17"/>
      <c r="AC97" s="17">
        <v>0</v>
      </c>
      <c r="AD97" s="17"/>
      <c r="AE97" s="17">
        <v>0</v>
      </c>
      <c r="AF97" s="16" t="s">
        <v>337</v>
      </c>
      <c r="AH97" s="16" t="s">
        <v>177</v>
      </c>
      <c r="AI97" s="17"/>
      <c r="AJ97" s="17">
        <v>0</v>
      </c>
      <c r="AK97" s="17"/>
      <c r="AL97" s="17">
        <v>0</v>
      </c>
      <c r="AM97" s="17"/>
      <c r="AN97" s="17"/>
      <c r="AO97" s="17"/>
      <c r="AP97" s="17">
        <v>0</v>
      </c>
      <c r="AQ97" s="17"/>
      <c r="AR97" s="17">
        <v>0</v>
      </c>
      <c r="AS97" s="17"/>
      <c r="AT97" s="28">
        <f t="shared" si="17"/>
        <v>0</v>
      </c>
      <c r="AU97" s="17"/>
      <c r="AV97" s="28">
        <f t="shared" si="18"/>
        <v>3638241</v>
      </c>
      <c r="AY97" s="90" t="s">
        <v>320</v>
      </c>
      <c r="AZ97" s="3" t="str">
        <f t="shared" si="19"/>
        <v>Logan County Educ Srv Ctr</v>
      </c>
      <c r="BA97" s="3" t="b">
        <f t="shared" si="20"/>
        <v>1</v>
      </c>
      <c r="BB97" s="20" t="str">
        <f>GovBS!A97</f>
        <v>Logan County Educ Srv Ctr</v>
      </c>
      <c r="BC97" s="20" t="b">
        <f t="shared" si="21"/>
        <v>1</v>
      </c>
      <c r="BE97" s="20" t="str">
        <f t="shared" si="22"/>
        <v>Logan</v>
      </c>
      <c r="BF97" s="20" t="b">
        <f t="shared" si="23"/>
        <v>1</v>
      </c>
      <c r="BH97" s="20" t="b">
        <f>C97=GovBS!C97</f>
        <v>1</v>
      </c>
    </row>
    <row r="98" spans="1:60" s="16" customFormat="1">
      <c r="A98" s="16" t="s">
        <v>338</v>
      </c>
      <c r="C98" s="16" t="s">
        <v>145</v>
      </c>
      <c r="E98" s="16">
        <v>48108</v>
      </c>
      <c r="G98" s="17">
        <v>0</v>
      </c>
      <c r="H98" s="17"/>
      <c r="I98" s="17">
        <v>4446548</v>
      </c>
      <c r="J98" s="17"/>
      <c r="K98" s="17">
        <v>61484</v>
      </c>
      <c r="L98" s="17"/>
      <c r="M98" s="17">
        <f>4346579+1620365</f>
        <v>5966944</v>
      </c>
      <c r="N98" s="17"/>
      <c r="O98" s="17">
        <v>0</v>
      </c>
      <c r="P98" s="17"/>
      <c r="Q98" s="17">
        <v>0</v>
      </c>
      <c r="R98" s="17"/>
      <c r="S98" s="17">
        <v>0</v>
      </c>
      <c r="T98" s="17"/>
      <c r="U98" s="17">
        <v>30616</v>
      </c>
      <c r="V98" s="17"/>
      <c r="W98" s="28">
        <f t="shared" si="16"/>
        <v>10505592</v>
      </c>
      <c r="X98" s="17"/>
      <c r="Y98" s="17">
        <v>8700</v>
      </c>
      <c r="Z98" s="17"/>
      <c r="AA98" s="17">
        <v>0</v>
      </c>
      <c r="AB98" s="17"/>
      <c r="AC98" s="17">
        <v>0</v>
      </c>
      <c r="AD98" s="17"/>
      <c r="AE98" s="17">
        <v>0</v>
      </c>
      <c r="AF98" s="16" t="s">
        <v>338</v>
      </c>
      <c r="AH98" s="16" t="s">
        <v>145</v>
      </c>
      <c r="AI98" s="17"/>
      <c r="AJ98" s="17">
        <v>0</v>
      </c>
      <c r="AK98" s="17"/>
      <c r="AL98" s="17">
        <v>0</v>
      </c>
      <c r="AM98" s="17"/>
      <c r="AN98" s="17"/>
      <c r="AO98" s="17"/>
      <c r="AP98" s="17">
        <v>0</v>
      </c>
      <c r="AQ98" s="17"/>
      <c r="AR98" s="17">
        <v>0</v>
      </c>
      <c r="AS98" s="17"/>
      <c r="AT98" s="28">
        <f t="shared" si="17"/>
        <v>8700</v>
      </c>
      <c r="AU98" s="17"/>
      <c r="AV98" s="28">
        <f t="shared" si="18"/>
        <v>10514292</v>
      </c>
      <c r="AY98" s="16" t="s">
        <v>388</v>
      </c>
      <c r="AZ98" s="3" t="str">
        <f t="shared" si="19"/>
        <v>Lorain County Educ Srv Ctr</v>
      </c>
      <c r="BA98" s="3" t="b">
        <f t="shared" si="20"/>
        <v>1</v>
      </c>
      <c r="BB98" s="20" t="str">
        <f>GovBS!A98</f>
        <v>Lorain County Educ Srv Ctr</v>
      </c>
      <c r="BC98" s="20" t="b">
        <f t="shared" si="21"/>
        <v>1</v>
      </c>
      <c r="BE98" s="20" t="str">
        <f t="shared" si="22"/>
        <v>Lorain</v>
      </c>
      <c r="BF98" s="20" t="b">
        <f t="shared" si="23"/>
        <v>1</v>
      </c>
      <c r="BH98" s="20" t="b">
        <f>C98=GovBS!C98</f>
        <v>1</v>
      </c>
    </row>
    <row r="99" spans="1:60" s="16" customFormat="1">
      <c r="A99" s="16" t="s">
        <v>339</v>
      </c>
      <c r="C99" s="16" t="s">
        <v>178</v>
      </c>
      <c r="E99" s="16">
        <v>48199</v>
      </c>
      <c r="G99" s="17">
        <v>0</v>
      </c>
      <c r="H99" s="17"/>
      <c r="I99" s="17">
        <f>4126078+3282908</f>
        <v>7408986</v>
      </c>
      <c r="J99" s="17"/>
      <c r="K99" s="17">
        <v>54736</v>
      </c>
      <c r="L99" s="17"/>
      <c r="M99" s="17">
        <f>7276603+108429+3139+9681690+95953</f>
        <v>17165814</v>
      </c>
      <c r="N99" s="17"/>
      <c r="O99" s="17">
        <v>2284</v>
      </c>
      <c r="P99" s="17"/>
      <c r="Q99" s="17">
        <v>0</v>
      </c>
      <c r="R99" s="17"/>
      <c r="S99" s="17">
        <v>13680</v>
      </c>
      <c r="T99" s="17"/>
      <c r="U99" s="17">
        <v>159866</v>
      </c>
      <c r="V99" s="17"/>
      <c r="W99" s="28">
        <f t="shared" si="16"/>
        <v>24805366</v>
      </c>
      <c r="X99" s="17"/>
      <c r="Y99" s="17">
        <v>194305</v>
      </c>
      <c r="Z99" s="17"/>
      <c r="AA99" s="17">
        <v>0</v>
      </c>
      <c r="AB99" s="17"/>
      <c r="AC99" s="17">
        <v>0</v>
      </c>
      <c r="AD99" s="17"/>
      <c r="AE99" s="17">
        <v>0</v>
      </c>
      <c r="AF99" s="16" t="s">
        <v>339</v>
      </c>
      <c r="AH99" s="16" t="s">
        <v>178</v>
      </c>
      <c r="AI99" s="17"/>
      <c r="AJ99" s="17">
        <v>0</v>
      </c>
      <c r="AK99" s="17"/>
      <c r="AL99" s="17">
        <v>0</v>
      </c>
      <c r="AM99" s="17"/>
      <c r="AN99" s="17"/>
      <c r="AO99" s="17"/>
      <c r="AP99" s="17">
        <v>0</v>
      </c>
      <c r="AQ99" s="17"/>
      <c r="AR99" s="17">
        <v>0</v>
      </c>
      <c r="AS99" s="17"/>
      <c r="AT99" s="28">
        <f t="shared" si="17"/>
        <v>194305</v>
      </c>
      <c r="AU99" s="17"/>
      <c r="AV99" s="28">
        <f t="shared" si="18"/>
        <v>24999671</v>
      </c>
      <c r="AY99" s="3"/>
      <c r="AZ99" s="3" t="str">
        <f t="shared" si="19"/>
        <v>Lucas County Educ Srv Ctr</v>
      </c>
      <c r="BA99" s="3" t="b">
        <f t="shared" si="20"/>
        <v>1</v>
      </c>
      <c r="BB99" s="20" t="str">
        <f>GovBS!A99</f>
        <v>Lucas County Educ Srv Ctr</v>
      </c>
      <c r="BC99" s="20" t="b">
        <f t="shared" si="21"/>
        <v>1</v>
      </c>
      <c r="BE99" s="20" t="str">
        <f t="shared" si="22"/>
        <v>Lucas</v>
      </c>
      <c r="BF99" s="20" t="b">
        <f t="shared" si="23"/>
        <v>1</v>
      </c>
      <c r="BH99" s="20" t="b">
        <f>C99=GovBS!C99</f>
        <v>1</v>
      </c>
    </row>
    <row r="100" spans="1:60" s="66" customFormat="1" hidden="1">
      <c r="A100" s="65" t="s">
        <v>391</v>
      </c>
      <c r="C100" s="66" t="s">
        <v>154</v>
      </c>
      <c r="E100" s="66">
        <v>137364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9">
        <f t="shared" si="16"/>
        <v>0</v>
      </c>
      <c r="X100" s="67"/>
      <c r="Y100" s="67"/>
      <c r="Z100" s="67"/>
      <c r="AA100" s="67"/>
      <c r="AB100" s="67"/>
      <c r="AC100" s="67"/>
      <c r="AD100" s="67"/>
      <c r="AE100" s="17">
        <v>0</v>
      </c>
      <c r="AF100" s="65" t="s">
        <v>391</v>
      </c>
      <c r="AH100" s="66" t="s">
        <v>154</v>
      </c>
      <c r="AI100" s="67"/>
      <c r="AJ100" s="67"/>
      <c r="AK100" s="67"/>
      <c r="AL100" s="67">
        <v>0</v>
      </c>
      <c r="AM100" s="67"/>
      <c r="AN100" s="67"/>
      <c r="AO100" s="67"/>
      <c r="AP100" s="67"/>
      <c r="AQ100" s="67"/>
      <c r="AR100" s="67"/>
      <c r="AS100" s="67"/>
      <c r="AT100" s="69">
        <f t="shared" si="17"/>
        <v>0</v>
      </c>
      <c r="AU100" s="67"/>
      <c r="AV100" s="69">
        <f t="shared" si="18"/>
        <v>0</v>
      </c>
      <c r="AY100" s="65" t="s">
        <v>390</v>
      </c>
      <c r="AZ100" s="65" t="str">
        <f t="shared" si="19"/>
        <v>Madison-Champaign Educ Srv Ctr (CASH)</v>
      </c>
      <c r="BA100" s="65" t="b">
        <f t="shared" si="20"/>
        <v>1</v>
      </c>
      <c r="BB100" s="68" t="str">
        <f>GovBS!A100</f>
        <v>Madison-Champaign Educ Srv Ctr (CASH)</v>
      </c>
      <c r="BC100" s="68" t="b">
        <f t="shared" si="21"/>
        <v>1</v>
      </c>
      <c r="BE100" s="68" t="str">
        <f t="shared" si="22"/>
        <v>Champaign</v>
      </c>
      <c r="BF100" s="68" t="b">
        <f t="shared" si="23"/>
        <v>1</v>
      </c>
      <c r="BH100" s="68" t="b">
        <f>C100=GovBS!C100</f>
        <v>1</v>
      </c>
    </row>
    <row r="101" spans="1:60" s="16" customFormat="1">
      <c r="A101" s="3" t="s">
        <v>392</v>
      </c>
      <c r="C101" s="16" t="s">
        <v>179</v>
      </c>
      <c r="E101" s="16">
        <v>48280</v>
      </c>
      <c r="G101" s="17">
        <v>0</v>
      </c>
      <c r="H101" s="17"/>
      <c r="I101" s="17">
        <f>118745+2566633+4303574</f>
        <v>6988952</v>
      </c>
      <c r="J101" s="17"/>
      <c r="K101" s="17">
        <v>19830</v>
      </c>
      <c r="L101" s="17"/>
      <c r="M101" s="17">
        <f>11833059+3386095</f>
        <v>15219154</v>
      </c>
      <c r="N101" s="17"/>
      <c r="O101" s="17">
        <v>0</v>
      </c>
      <c r="P101" s="17"/>
      <c r="Q101" s="17">
        <v>0</v>
      </c>
      <c r="R101" s="17"/>
      <c r="S101" s="17">
        <v>0</v>
      </c>
      <c r="T101" s="17"/>
      <c r="U101" s="17">
        <v>64825</v>
      </c>
      <c r="V101" s="17"/>
      <c r="W101" s="28">
        <f t="shared" ref="W101:W130" si="24">SUM(G101:V101)</f>
        <v>22292761</v>
      </c>
      <c r="X101" s="17"/>
      <c r="Y101" s="17">
        <v>120000</v>
      </c>
      <c r="Z101" s="17"/>
      <c r="AA101" s="17">
        <v>0</v>
      </c>
      <c r="AB101" s="17"/>
      <c r="AC101" s="17">
        <v>0</v>
      </c>
      <c r="AD101" s="17"/>
      <c r="AE101" s="17">
        <v>0</v>
      </c>
      <c r="AF101" s="3" t="s">
        <v>392</v>
      </c>
      <c r="AH101" s="16" t="s">
        <v>179</v>
      </c>
      <c r="AI101" s="17"/>
      <c r="AJ101" s="17">
        <v>0</v>
      </c>
      <c r="AK101" s="17"/>
      <c r="AL101" s="17">
        <v>0</v>
      </c>
      <c r="AM101" s="17"/>
      <c r="AN101" s="17"/>
      <c r="AO101" s="17"/>
      <c r="AP101" s="17">
        <v>0</v>
      </c>
      <c r="AQ101" s="17"/>
      <c r="AR101" s="17">
        <v>0</v>
      </c>
      <c r="AS101" s="17"/>
      <c r="AT101" s="28">
        <f t="shared" ref="AT101:AT130" si="25">SUM(Y101:AR101)</f>
        <v>120000</v>
      </c>
      <c r="AU101" s="17"/>
      <c r="AV101" s="28">
        <f t="shared" ref="AV101:AV130" si="26">+AT101+W101</f>
        <v>22412761</v>
      </c>
      <c r="AY101" s="3"/>
      <c r="AZ101" s="3" t="str">
        <f t="shared" ref="AZ101:AZ130" si="27">A101</f>
        <v>Mahoning County Educ Srv Ctr</v>
      </c>
      <c r="BA101" s="3" t="b">
        <f t="shared" ref="BA101:BA130" si="28">A101=AF101</f>
        <v>1</v>
      </c>
      <c r="BB101" s="20" t="str">
        <f>GovBS!A101</f>
        <v>Mahoning County Educ Srv Ctr</v>
      </c>
      <c r="BC101" s="20" t="b">
        <f t="shared" ref="BC101:BC130" si="29">AZ101=BB101</f>
        <v>1</v>
      </c>
      <c r="BE101" s="20" t="str">
        <f t="shared" ref="BE101:BE130" si="30">C101</f>
        <v>Mahoning</v>
      </c>
      <c r="BF101" s="20" t="b">
        <f t="shared" ref="BF101:BF130" si="31">C101=AH101</f>
        <v>1</v>
      </c>
      <c r="BH101" s="20" t="b">
        <f>C101=GovBS!C101</f>
        <v>1</v>
      </c>
    </row>
    <row r="102" spans="1:60" s="16" customFormat="1">
      <c r="A102" s="3" t="s">
        <v>180</v>
      </c>
      <c r="C102" s="16" t="s">
        <v>181</v>
      </c>
      <c r="E102" s="16">
        <v>48454</v>
      </c>
      <c r="G102" s="17">
        <v>0</v>
      </c>
      <c r="H102" s="17"/>
      <c r="I102" s="17">
        <v>1687658</v>
      </c>
      <c r="J102" s="17"/>
      <c r="K102" s="17">
        <v>21803</v>
      </c>
      <c r="L102" s="17"/>
      <c r="M102" s="17">
        <f>73511+5106002</f>
        <v>5179513</v>
      </c>
      <c r="N102" s="17"/>
      <c r="O102" s="17">
        <v>0</v>
      </c>
      <c r="P102" s="17"/>
      <c r="Q102" s="17">
        <v>0</v>
      </c>
      <c r="R102" s="17"/>
      <c r="S102" s="17">
        <v>46427</v>
      </c>
      <c r="T102" s="17"/>
      <c r="U102" s="17">
        <v>5375</v>
      </c>
      <c r="V102" s="17"/>
      <c r="W102" s="28">
        <f t="shared" si="24"/>
        <v>6940776</v>
      </c>
      <c r="X102" s="17"/>
      <c r="Y102" s="17">
        <v>1761</v>
      </c>
      <c r="Z102" s="17"/>
      <c r="AA102" s="17">
        <v>0</v>
      </c>
      <c r="AB102" s="17"/>
      <c r="AC102" s="17">
        <v>0</v>
      </c>
      <c r="AD102" s="17"/>
      <c r="AE102" s="17">
        <v>0</v>
      </c>
      <c r="AF102" s="3" t="s">
        <v>180</v>
      </c>
      <c r="AH102" s="16" t="s">
        <v>181</v>
      </c>
      <c r="AI102" s="17"/>
      <c r="AJ102" s="17">
        <v>0</v>
      </c>
      <c r="AK102" s="17"/>
      <c r="AL102" s="17">
        <v>0</v>
      </c>
      <c r="AM102" s="17"/>
      <c r="AN102" s="17"/>
      <c r="AO102" s="17"/>
      <c r="AP102" s="17">
        <v>0</v>
      </c>
      <c r="AQ102" s="17"/>
      <c r="AR102" s="17">
        <v>0</v>
      </c>
      <c r="AS102" s="17"/>
      <c r="AT102" s="28">
        <f t="shared" si="25"/>
        <v>1761</v>
      </c>
      <c r="AU102" s="17"/>
      <c r="AV102" s="28">
        <f t="shared" si="26"/>
        <v>6942537</v>
      </c>
      <c r="AY102" s="3"/>
      <c r="AZ102" s="3" t="str">
        <f t="shared" si="27"/>
        <v>Medina County Educ Srv Ctr</v>
      </c>
      <c r="BA102" s="3" t="b">
        <f t="shared" si="28"/>
        <v>1</v>
      </c>
      <c r="BB102" s="20" t="str">
        <f>GovBS!A102</f>
        <v>Medina County Educ Srv Ctr</v>
      </c>
      <c r="BC102" s="20" t="b">
        <f t="shared" si="29"/>
        <v>1</v>
      </c>
      <c r="BE102" s="20" t="str">
        <f t="shared" si="30"/>
        <v>Medina</v>
      </c>
      <c r="BF102" s="20" t="b">
        <f t="shared" si="31"/>
        <v>1</v>
      </c>
      <c r="BH102" s="20" t="b">
        <f>C102=GovBS!C102</f>
        <v>1</v>
      </c>
    </row>
    <row r="103" spans="1:60" s="66" customFormat="1" ht="12" hidden="1" customHeight="1">
      <c r="A103" s="65" t="s">
        <v>394</v>
      </c>
      <c r="C103" s="66" t="s">
        <v>182</v>
      </c>
      <c r="E103" s="66">
        <v>48546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9">
        <f t="shared" si="24"/>
        <v>0</v>
      </c>
      <c r="X103" s="67"/>
      <c r="Y103" s="67"/>
      <c r="Z103" s="67"/>
      <c r="AA103" s="67"/>
      <c r="AB103" s="67"/>
      <c r="AC103" s="67"/>
      <c r="AD103" s="67"/>
      <c r="AE103" s="17">
        <v>0</v>
      </c>
      <c r="AF103" s="65" t="s">
        <v>394</v>
      </c>
      <c r="AH103" s="66" t="s">
        <v>182</v>
      </c>
      <c r="AI103" s="67"/>
      <c r="AJ103" s="67"/>
      <c r="AK103" s="67"/>
      <c r="AL103" s="67">
        <v>0</v>
      </c>
      <c r="AM103" s="67"/>
      <c r="AN103" s="67"/>
      <c r="AO103" s="67"/>
      <c r="AP103" s="67"/>
      <c r="AQ103" s="67"/>
      <c r="AR103" s="67"/>
      <c r="AS103" s="67"/>
      <c r="AT103" s="69">
        <f t="shared" si="25"/>
        <v>0</v>
      </c>
      <c r="AU103" s="67"/>
      <c r="AV103" s="69">
        <f t="shared" si="26"/>
        <v>0</v>
      </c>
      <c r="AY103" s="80" t="s">
        <v>393</v>
      </c>
      <c r="AZ103" s="65" t="str">
        <f t="shared" si="27"/>
        <v>Mercer County Educ Srv Ctr (CASH)</v>
      </c>
      <c r="BA103" s="65" t="b">
        <f t="shared" si="28"/>
        <v>1</v>
      </c>
      <c r="BB103" s="68" t="str">
        <f>GovBS!A103</f>
        <v>Mercer County Educ Srv Ctr (CASH)</v>
      </c>
      <c r="BC103" s="68" t="b">
        <f t="shared" si="29"/>
        <v>1</v>
      </c>
      <c r="BE103" s="68" t="str">
        <f t="shared" si="30"/>
        <v>Mercer</v>
      </c>
      <c r="BF103" s="68" t="b">
        <f t="shared" si="31"/>
        <v>1</v>
      </c>
      <c r="BH103" s="68" t="b">
        <f>C103=GovBS!C103</f>
        <v>1</v>
      </c>
    </row>
    <row r="104" spans="1:60" s="16" customFormat="1">
      <c r="A104" s="3" t="s">
        <v>395</v>
      </c>
      <c r="C104" s="16" t="s">
        <v>183</v>
      </c>
      <c r="E104" s="16">
        <v>48603</v>
      </c>
      <c r="G104" s="17">
        <v>0</v>
      </c>
      <c r="H104" s="17"/>
      <c r="I104" s="17">
        <v>1434229</v>
      </c>
      <c r="J104" s="17"/>
      <c r="K104" s="17">
        <v>5580</v>
      </c>
      <c r="L104" s="17"/>
      <c r="M104" s="17">
        <f>10225479+26235</f>
        <v>10251714</v>
      </c>
      <c r="N104" s="17"/>
      <c r="O104" s="17">
        <v>887</v>
      </c>
      <c r="P104" s="17"/>
      <c r="Q104" s="17">
        <v>0</v>
      </c>
      <c r="R104" s="17"/>
      <c r="S104" s="17">
        <v>2995</v>
      </c>
      <c r="T104" s="17"/>
      <c r="U104" s="17">
        <v>69619</v>
      </c>
      <c r="V104" s="17"/>
      <c r="W104" s="28">
        <f t="shared" si="24"/>
        <v>11765024</v>
      </c>
      <c r="X104" s="17"/>
      <c r="Y104" s="17">
        <v>0</v>
      </c>
      <c r="Z104" s="17"/>
      <c r="AA104" s="17">
        <v>0</v>
      </c>
      <c r="AB104" s="17"/>
      <c r="AC104" s="17">
        <v>0</v>
      </c>
      <c r="AD104" s="17"/>
      <c r="AE104" s="17">
        <v>0</v>
      </c>
      <c r="AF104" s="3" t="s">
        <v>395</v>
      </c>
      <c r="AH104" s="16" t="s">
        <v>183</v>
      </c>
      <c r="AI104" s="17"/>
      <c r="AJ104" s="17">
        <v>40250</v>
      </c>
      <c r="AK104" s="17"/>
      <c r="AL104" s="17">
        <v>0</v>
      </c>
      <c r="AM104" s="17"/>
      <c r="AN104" s="17"/>
      <c r="AO104" s="17"/>
      <c r="AP104" s="17">
        <v>0</v>
      </c>
      <c r="AQ104" s="17"/>
      <c r="AR104" s="17">
        <v>0</v>
      </c>
      <c r="AS104" s="17"/>
      <c r="AT104" s="28">
        <f t="shared" si="25"/>
        <v>40250</v>
      </c>
      <c r="AU104" s="17"/>
      <c r="AV104" s="28">
        <f t="shared" si="26"/>
        <v>11805274</v>
      </c>
      <c r="AY104" s="3"/>
      <c r="AZ104" s="3" t="str">
        <f t="shared" si="27"/>
        <v>Miami County Educ Srv Ctr</v>
      </c>
      <c r="BA104" s="3" t="b">
        <f t="shared" si="28"/>
        <v>1</v>
      </c>
      <c r="BB104" s="20" t="str">
        <f>GovBS!A104</f>
        <v>Miami County Educ Srv Ctr</v>
      </c>
      <c r="BC104" s="20" t="b">
        <f t="shared" si="29"/>
        <v>1</v>
      </c>
      <c r="BE104" s="20" t="str">
        <f t="shared" si="30"/>
        <v>Miami</v>
      </c>
      <c r="BF104" s="20" t="b">
        <f t="shared" si="31"/>
        <v>1</v>
      </c>
      <c r="BH104" s="20" t="b">
        <f>C104=GovBS!C104</f>
        <v>1</v>
      </c>
    </row>
    <row r="105" spans="1:60" s="66" customFormat="1" hidden="1">
      <c r="A105" s="65" t="s">
        <v>293</v>
      </c>
      <c r="B105" s="65"/>
      <c r="C105" s="65" t="s">
        <v>193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9">
        <f t="shared" si="24"/>
        <v>0</v>
      </c>
      <c r="X105" s="67"/>
      <c r="Y105" s="67"/>
      <c r="Z105" s="67"/>
      <c r="AA105" s="67"/>
      <c r="AB105" s="67"/>
      <c r="AC105" s="67"/>
      <c r="AD105" s="67"/>
      <c r="AE105" s="17">
        <v>0</v>
      </c>
      <c r="AF105" s="65" t="s">
        <v>293</v>
      </c>
      <c r="AG105" s="65"/>
      <c r="AH105" s="65" t="s">
        <v>193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9">
        <f t="shared" si="25"/>
        <v>0</v>
      </c>
      <c r="AU105" s="67"/>
      <c r="AV105" s="69">
        <f t="shared" si="26"/>
        <v>0</v>
      </c>
      <c r="AY105" s="80" t="s">
        <v>393</v>
      </c>
      <c r="AZ105" s="65" t="str">
        <f t="shared" si="27"/>
        <v>Mid-Ohio Educ Srv Ctr  (CASH)</v>
      </c>
      <c r="BA105" s="65" t="b">
        <f t="shared" si="28"/>
        <v>1</v>
      </c>
      <c r="BB105" s="68" t="str">
        <f>GovBS!A105</f>
        <v>Mid-Ohio Educ Srv Ctr  (CASH)</v>
      </c>
      <c r="BC105" s="68" t="b">
        <f t="shared" si="29"/>
        <v>1</v>
      </c>
      <c r="BE105" s="68" t="str">
        <f t="shared" si="30"/>
        <v>Richland</v>
      </c>
      <c r="BF105" s="68" t="b">
        <f t="shared" si="31"/>
        <v>1</v>
      </c>
      <c r="BH105" s="68" t="b">
        <f>C105=GovBS!C105</f>
        <v>1</v>
      </c>
    </row>
    <row r="106" spans="1:60" s="16" customFormat="1">
      <c r="A106" s="3" t="s">
        <v>398</v>
      </c>
      <c r="C106" s="16" t="s">
        <v>184</v>
      </c>
      <c r="E106" s="16">
        <v>48660</v>
      </c>
      <c r="G106" s="17">
        <v>0</v>
      </c>
      <c r="H106" s="17"/>
      <c r="I106" s="17">
        <v>5810409</v>
      </c>
      <c r="J106" s="17"/>
      <c r="K106" s="17">
        <v>27163</v>
      </c>
      <c r="L106" s="17"/>
      <c r="M106" s="17">
        <f>18190897+246070+7022089</f>
        <v>25459056</v>
      </c>
      <c r="N106" s="17"/>
      <c r="O106" s="17">
        <v>0</v>
      </c>
      <c r="P106" s="17"/>
      <c r="Q106" s="17">
        <v>0</v>
      </c>
      <c r="R106" s="17"/>
      <c r="S106" s="17">
        <v>14000</v>
      </c>
      <c r="T106" s="17"/>
      <c r="U106" s="17">
        <v>66775</v>
      </c>
      <c r="V106" s="17"/>
      <c r="W106" s="28">
        <f t="shared" si="24"/>
        <v>31377403</v>
      </c>
      <c r="X106" s="17"/>
      <c r="Y106" s="17">
        <v>108849</v>
      </c>
      <c r="Z106" s="17"/>
      <c r="AA106" s="17">
        <v>0</v>
      </c>
      <c r="AB106" s="17"/>
      <c r="AC106" s="17">
        <v>0</v>
      </c>
      <c r="AD106" s="17"/>
      <c r="AE106" s="17">
        <v>0</v>
      </c>
      <c r="AF106" s="3" t="s">
        <v>398</v>
      </c>
      <c r="AH106" s="16" t="s">
        <v>184</v>
      </c>
      <c r="AI106" s="17"/>
      <c r="AJ106" s="17">
        <v>0</v>
      </c>
      <c r="AK106" s="17"/>
      <c r="AL106" s="17">
        <v>25700</v>
      </c>
      <c r="AM106" s="17"/>
      <c r="AN106" s="17"/>
      <c r="AO106" s="17"/>
      <c r="AP106" s="17">
        <v>0</v>
      </c>
      <c r="AQ106" s="17"/>
      <c r="AR106" s="17">
        <v>0</v>
      </c>
      <c r="AS106" s="17"/>
      <c r="AT106" s="28">
        <f t="shared" si="25"/>
        <v>134549</v>
      </c>
      <c r="AU106" s="17"/>
      <c r="AV106" s="28">
        <f t="shared" si="26"/>
        <v>31511952</v>
      </c>
      <c r="AY106" s="3"/>
      <c r="AZ106" s="3" t="str">
        <f t="shared" si="27"/>
        <v>Montgomery County Educ Srv Ctr</v>
      </c>
      <c r="BA106" s="3" t="b">
        <f t="shared" si="28"/>
        <v>1</v>
      </c>
      <c r="BB106" s="20" t="str">
        <f>GovBS!A106</f>
        <v>Montgomery County Educ Srv Ctr</v>
      </c>
      <c r="BC106" s="20" t="b">
        <f t="shared" si="29"/>
        <v>1</v>
      </c>
      <c r="BE106" s="20" t="str">
        <f t="shared" si="30"/>
        <v>Montgomery</v>
      </c>
      <c r="BF106" s="20" t="b">
        <f t="shared" si="31"/>
        <v>1</v>
      </c>
      <c r="BH106" s="20" t="b">
        <f>C106=GovBS!C106</f>
        <v>1</v>
      </c>
    </row>
    <row r="107" spans="1:60" s="16" customFormat="1">
      <c r="A107" s="3" t="s">
        <v>185</v>
      </c>
      <c r="C107" s="16" t="s">
        <v>186</v>
      </c>
      <c r="E107" s="16">
        <v>125252</v>
      </c>
      <c r="G107" s="17">
        <v>0</v>
      </c>
      <c r="H107" s="17"/>
      <c r="I107" s="17">
        <v>3657849</v>
      </c>
      <c r="J107" s="17"/>
      <c r="K107" s="17">
        <v>30402</v>
      </c>
      <c r="L107" s="17"/>
      <c r="M107" s="17">
        <f>3207230+4336930</f>
        <v>7544160</v>
      </c>
      <c r="N107" s="17"/>
      <c r="O107" s="17">
        <v>17697</v>
      </c>
      <c r="P107" s="17"/>
      <c r="Q107" s="17">
        <v>0</v>
      </c>
      <c r="R107" s="17"/>
      <c r="S107" s="17">
        <v>0</v>
      </c>
      <c r="T107" s="17"/>
      <c r="U107" s="17">
        <v>0</v>
      </c>
      <c r="V107" s="17"/>
      <c r="W107" s="28">
        <f t="shared" si="24"/>
        <v>11250108</v>
      </c>
      <c r="X107" s="17"/>
      <c r="Y107" s="17">
        <v>0</v>
      </c>
      <c r="Z107" s="17"/>
      <c r="AA107" s="17">
        <v>0</v>
      </c>
      <c r="AB107" s="17"/>
      <c r="AC107" s="17">
        <v>0</v>
      </c>
      <c r="AD107" s="17"/>
      <c r="AE107" s="17">
        <v>0</v>
      </c>
      <c r="AF107" s="3" t="s">
        <v>185</v>
      </c>
      <c r="AH107" s="16" t="s">
        <v>186</v>
      </c>
      <c r="AI107" s="17"/>
      <c r="AJ107" s="17">
        <v>0</v>
      </c>
      <c r="AK107" s="17"/>
      <c r="AL107" s="17">
        <v>0</v>
      </c>
      <c r="AM107" s="17"/>
      <c r="AN107" s="17"/>
      <c r="AO107" s="17"/>
      <c r="AP107" s="17">
        <v>0</v>
      </c>
      <c r="AQ107" s="17"/>
      <c r="AR107" s="17">
        <v>0</v>
      </c>
      <c r="AS107" s="17"/>
      <c r="AT107" s="28">
        <f t="shared" si="25"/>
        <v>0</v>
      </c>
      <c r="AU107" s="17"/>
      <c r="AV107" s="28">
        <f t="shared" si="26"/>
        <v>11250108</v>
      </c>
      <c r="AY107" s="3"/>
      <c r="AZ107" s="3" t="str">
        <f t="shared" si="27"/>
        <v>Muskingum Valley Educ Srv Ctr</v>
      </c>
      <c r="BA107" s="3" t="b">
        <f t="shared" si="28"/>
        <v>1</v>
      </c>
      <c r="BB107" s="20" t="str">
        <f>GovBS!A107</f>
        <v>Muskingum Valley Educ Srv Ctr</v>
      </c>
      <c r="BC107" s="20" t="b">
        <f t="shared" si="29"/>
        <v>1</v>
      </c>
      <c r="BE107" s="20" t="str">
        <f t="shared" si="30"/>
        <v>Muskingum</v>
      </c>
      <c r="BF107" s="20" t="b">
        <f t="shared" si="31"/>
        <v>1</v>
      </c>
      <c r="BH107" s="20" t="b">
        <f>C107=GovBS!C107</f>
        <v>1</v>
      </c>
    </row>
    <row r="108" spans="1:60" s="16" customFormat="1">
      <c r="A108" s="3" t="s">
        <v>277</v>
      </c>
      <c r="C108" s="16" t="s">
        <v>197</v>
      </c>
      <c r="E108" s="16">
        <v>123257</v>
      </c>
      <c r="G108" s="17">
        <v>0</v>
      </c>
      <c r="H108" s="17"/>
      <c r="I108" s="17">
        <f>18989+3684762+1668559</f>
        <v>5372310</v>
      </c>
      <c r="J108" s="17"/>
      <c r="K108" s="17">
        <v>4970</v>
      </c>
      <c r="L108" s="17"/>
      <c r="M108" s="17">
        <f>3235+8645706+23732+4190710</f>
        <v>12863383</v>
      </c>
      <c r="N108" s="17"/>
      <c r="O108" s="17">
        <v>1275</v>
      </c>
      <c r="P108" s="17"/>
      <c r="Q108" s="17">
        <v>0</v>
      </c>
      <c r="R108" s="17"/>
      <c r="S108" s="17">
        <v>35534</v>
      </c>
      <c r="T108" s="17"/>
      <c r="U108" s="17">
        <v>822583</v>
      </c>
      <c r="V108" s="17"/>
      <c r="W108" s="28">
        <f t="shared" si="24"/>
        <v>19100055</v>
      </c>
      <c r="X108" s="17"/>
      <c r="Y108" s="17">
        <v>78697</v>
      </c>
      <c r="Z108" s="17"/>
      <c r="AA108" s="17">
        <v>3530000</v>
      </c>
      <c r="AB108" s="17"/>
      <c r="AC108" s="17">
        <v>0</v>
      </c>
      <c r="AD108" s="17"/>
      <c r="AE108" s="17">
        <v>0</v>
      </c>
      <c r="AF108" s="3" t="s">
        <v>277</v>
      </c>
      <c r="AH108" s="16" t="s">
        <v>197</v>
      </c>
      <c r="AI108" s="17"/>
      <c r="AJ108" s="17">
        <v>0</v>
      </c>
      <c r="AK108" s="17"/>
      <c r="AL108" s="17">
        <v>0</v>
      </c>
      <c r="AM108" s="17"/>
      <c r="AN108" s="17"/>
      <c r="AO108" s="17"/>
      <c r="AP108" s="17">
        <v>0</v>
      </c>
      <c r="AQ108" s="17"/>
      <c r="AR108" s="17">
        <v>0</v>
      </c>
      <c r="AS108" s="17"/>
      <c r="AT108" s="28">
        <f t="shared" si="25"/>
        <v>3608697</v>
      </c>
      <c r="AU108" s="17"/>
      <c r="AV108" s="28">
        <f t="shared" si="26"/>
        <v>22708752</v>
      </c>
      <c r="AY108" s="3"/>
      <c r="AZ108" s="3" t="str">
        <f t="shared" si="27"/>
        <v>North Central Ohio Educ Srv Ctr</v>
      </c>
      <c r="BA108" s="3" t="b">
        <f t="shared" si="28"/>
        <v>1</v>
      </c>
      <c r="BB108" s="20" t="str">
        <f>GovBS!A108</f>
        <v>North Central Ohio Educ Srv Ctr</v>
      </c>
      <c r="BC108" s="20" t="b">
        <f t="shared" si="29"/>
        <v>1</v>
      </c>
      <c r="BE108" s="20" t="str">
        <f t="shared" si="30"/>
        <v>Seneca</v>
      </c>
      <c r="BF108" s="20" t="b">
        <f t="shared" si="31"/>
        <v>1</v>
      </c>
      <c r="BH108" s="20" t="b">
        <f>C108=GovBS!C108</f>
        <v>1</v>
      </c>
    </row>
    <row r="109" spans="1:60" s="16" customFormat="1">
      <c r="A109" s="16" t="s">
        <v>340</v>
      </c>
      <c r="C109" s="16" t="s">
        <v>163</v>
      </c>
      <c r="G109" s="17">
        <v>0</v>
      </c>
      <c r="H109" s="17"/>
      <c r="I109" s="17">
        <f>3000+3083850+227867</f>
        <v>3314717</v>
      </c>
      <c r="J109" s="17"/>
      <c r="K109" s="17">
        <v>21663</v>
      </c>
      <c r="L109" s="17"/>
      <c r="M109" s="17">
        <f>418325+16165815+17455</f>
        <v>16601595</v>
      </c>
      <c r="N109" s="17"/>
      <c r="O109" s="17">
        <v>6185</v>
      </c>
      <c r="P109" s="17"/>
      <c r="Q109" s="17">
        <v>0</v>
      </c>
      <c r="R109" s="17"/>
      <c r="S109" s="17">
        <v>13010</v>
      </c>
      <c r="T109" s="17"/>
      <c r="U109" s="17">
        <v>75133</v>
      </c>
      <c r="V109" s="17"/>
      <c r="W109" s="28">
        <f t="shared" si="24"/>
        <v>20032303</v>
      </c>
      <c r="X109" s="17"/>
      <c r="Y109" s="17">
        <v>8297</v>
      </c>
      <c r="Z109" s="17"/>
      <c r="AA109" s="17">
        <v>0</v>
      </c>
      <c r="AB109" s="17"/>
      <c r="AC109" s="17">
        <v>0</v>
      </c>
      <c r="AD109" s="17"/>
      <c r="AE109" s="17">
        <v>0</v>
      </c>
      <c r="AF109" s="16" t="s">
        <v>340</v>
      </c>
      <c r="AH109" s="16" t="s">
        <v>163</v>
      </c>
      <c r="AI109" s="17"/>
      <c r="AJ109" s="17">
        <v>0</v>
      </c>
      <c r="AK109" s="17"/>
      <c r="AL109" s="17">
        <v>0</v>
      </c>
      <c r="AM109" s="17"/>
      <c r="AN109" s="17"/>
      <c r="AO109" s="17"/>
      <c r="AP109" s="17">
        <v>0</v>
      </c>
      <c r="AQ109" s="17"/>
      <c r="AR109" s="17">
        <v>0</v>
      </c>
      <c r="AS109" s="17"/>
      <c r="AT109" s="28">
        <f t="shared" si="25"/>
        <v>8297</v>
      </c>
      <c r="AU109" s="17"/>
      <c r="AV109" s="28">
        <f t="shared" si="26"/>
        <v>20040600</v>
      </c>
      <c r="AY109" s="3"/>
      <c r="AZ109" s="3" t="str">
        <f t="shared" si="27"/>
        <v>North Point Educ Srv Ctr</v>
      </c>
      <c r="BA109" s="3" t="b">
        <f t="shared" si="28"/>
        <v>1</v>
      </c>
      <c r="BB109" s="20" t="str">
        <f>GovBS!A109</f>
        <v>North Point Educ Srv Ctr</v>
      </c>
      <c r="BC109" s="20" t="b">
        <f t="shared" si="29"/>
        <v>1</v>
      </c>
      <c r="BE109" s="20" t="str">
        <f t="shared" si="30"/>
        <v>Erie</v>
      </c>
      <c r="BF109" s="20" t="b">
        <f t="shared" si="31"/>
        <v>1</v>
      </c>
      <c r="BH109" s="20" t="b">
        <f>C109=GovBS!C109</f>
        <v>1</v>
      </c>
    </row>
    <row r="110" spans="1:60" s="16" customFormat="1">
      <c r="A110" s="3" t="s">
        <v>166</v>
      </c>
      <c r="C110" s="3" t="s">
        <v>399</v>
      </c>
      <c r="E110" s="16">
        <v>124297</v>
      </c>
      <c r="G110" s="17">
        <v>0</v>
      </c>
      <c r="H110" s="17"/>
      <c r="I110" s="17">
        <v>8849308</v>
      </c>
      <c r="J110" s="17"/>
      <c r="K110" s="17">
        <v>9251</v>
      </c>
      <c r="L110" s="17"/>
      <c r="M110" s="17">
        <f>16471866+517003+180898</f>
        <v>17169767</v>
      </c>
      <c r="N110" s="17"/>
      <c r="O110" s="17">
        <v>0</v>
      </c>
      <c r="P110" s="17"/>
      <c r="Q110" s="17">
        <v>0</v>
      </c>
      <c r="R110" s="17"/>
      <c r="S110" s="17">
        <v>17683</v>
      </c>
      <c r="T110" s="17"/>
      <c r="U110" s="17">
        <v>57442</v>
      </c>
      <c r="V110" s="17"/>
      <c r="W110" s="28">
        <f t="shared" si="24"/>
        <v>26103451</v>
      </c>
      <c r="X110" s="17"/>
      <c r="Y110" s="17">
        <v>20000</v>
      </c>
      <c r="Z110" s="17"/>
      <c r="AA110" s="17">
        <v>0</v>
      </c>
      <c r="AB110" s="17"/>
      <c r="AC110" s="17">
        <v>0</v>
      </c>
      <c r="AD110" s="17"/>
      <c r="AE110" s="17">
        <v>0</v>
      </c>
      <c r="AF110" s="3" t="s">
        <v>166</v>
      </c>
      <c r="AH110" s="3" t="s">
        <v>399</v>
      </c>
      <c r="AI110" s="17"/>
      <c r="AJ110" s="17">
        <v>0</v>
      </c>
      <c r="AK110" s="17"/>
      <c r="AL110" s="17">
        <v>0</v>
      </c>
      <c r="AM110" s="17"/>
      <c r="AN110" s="17"/>
      <c r="AO110" s="17"/>
      <c r="AP110" s="17">
        <v>1258000</v>
      </c>
      <c r="AQ110" s="17"/>
      <c r="AR110" s="17">
        <v>0</v>
      </c>
      <c r="AS110" s="17"/>
      <c r="AT110" s="28">
        <f t="shared" si="25"/>
        <v>1278000</v>
      </c>
      <c r="AU110" s="17"/>
      <c r="AV110" s="28">
        <f t="shared" si="26"/>
        <v>27381451</v>
      </c>
      <c r="AY110" s="3" t="s">
        <v>400</v>
      </c>
      <c r="AZ110" s="3" t="str">
        <f t="shared" si="27"/>
        <v>Northwest Ohio Educ Srv Ctr</v>
      </c>
      <c r="BA110" s="3" t="b">
        <f t="shared" si="28"/>
        <v>1</v>
      </c>
      <c r="BB110" s="20" t="str">
        <f>GovBS!A110</f>
        <v>Northwest Ohio Educ Srv Ctr</v>
      </c>
      <c r="BC110" s="20" t="b">
        <f t="shared" si="29"/>
        <v>1</v>
      </c>
      <c r="BE110" s="20" t="str">
        <f t="shared" si="30"/>
        <v>Fulton</v>
      </c>
      <c r="BF110" s="20" t="b">
        <f t="shared" si="31"/>
        <v>1</v>
      </c>
      <c r="BH110" s="20" t="b">
        <f>C110=GovBS!C110</f>
        <v>1</v>
      </c>
    </row>
    <row r="111" spans="1:60" s="16" customFormat="1">
      <c r="A111" s="3" t="s">
        <v>364</v>
      </c>
      <c r="C111" s="3" t="s">
        <v>271</v>
      </c>
      <c r="E111" s="16">
        <v>123521</v>
      </c>
      <c r="G111" s="17">
        <v>0</v>
      </c>
      <c r="H111" s="17"/>
      <c r="I111" s="17">
        <v>2834167</v>
      </c>
      <c r="J111" s="17"/>
      <c r="K111" s="17">
        <v>5395</v>
      </c>
      <c r="L111" s="17"/>
      <c r="M111" s="17">
        <f>830195+17723+5088361</f>
        <v>5936279</v>
      </c>
      <c r="N111" s="17"/>
      <c r="O111" s="17">
        <v>0</v>
      </c>
      <c r="P111" s="17"/>
      <c r="Q111" s="17">
        <v>0</v>
      </c>
      <c r="R111" s="17"/>
      <c r="S111" s="17">
        <v>5770</v>
      </c>
      <c r="T111" s="17"/>
      <c r="U111" s="17">
        <v>10282</v>
      </c>
      <c r="V111" s="17"/>
      <c r="W111" s="28">
        <f t="shared" si="24"/>
        <v>8791893</v>
      </c>
      <c r="X111" s="17"/>
      <c r="Y111" s="17">
        <v>297208</v>
      </c>
      <c r="Z111" s="17"/>
      <c r="AA111" s="17">
        <v>0</v>
      </c>
      <c r="AB111" s="17"/>
      <c r="AC111" s="17">
        <v>0</v>
      </c>
      <c r="AD111" s="17"/>
      <c r="AE111" s="17">
        <v>0</v>
      </c>
      <c r="AF111" s="3" t="s">
        <v>364</v>
      </c>
      <c r="AH111" s="3" t="s">
        <v>271</v>
      </c>
      <c r="AI111" s="17"/>
      <c r="AJ111" s="17">
        <v>0</v>
      </c>
      <c r="AK111" s="17"/>
      <c r="AL111" s="17">
        <v>0</v>
      </c>
      <c r="AM111" s="17"/>
      <c r="AN111" s="17"/>
      <c r="AO111" s="17"/>
      <c r="AP111" s="17">
        <v>0</v>
      </c>
      <c r="AQ111" s="17"/>
      <c r="AR111" s="17">
        <v>0</v>
      </c>
      <c r="AS111" s="17"/>
      <c r="AT111" s="28">
        <f t="shared" si="25"/>
        <v>297208</v>
      </c>
      <c r="AU111" s="17"/>
      <c r="AV111" s="28">
        <f t="shared" si="26"/>
        <v>9089101</v>
      </c>
      <c r="AY111" s="3"/>
      <c r="AZ111" s="3" t="str">
        <f t="shared" si="27"/>
        <v>Ohio Valley Educ Srv Ctr</v>
      </c>
      <c r="BA111" s="3" t="b">
        <f t="shared" si="28"/>
        <v>1</v>
      </c>
      <c r="BB111" s="20" t="str">
        <f>GovBS!A111</f>
        <v>Ohio Valley Educ Srv Ctr</v>
      </c>
      <c r="BC111" s="20" t="b">
        <f t="shared" si="29"/>
        <v>1</v>
      </c>
      <c r="BE111" s="20" t="str">
        <f t="shared" si="30"/>
        <v>Guernsey</v>
      </c>
      <c r="BF111" s="20" t="b">
        <f t="shared" si="31"/>
        <v>1</v>
      </c>
      <c r="BH111" s="20" t="b">
        <f>C111=GovBS!C111</f>
        <v>1</v>
      </c>
    </row>
    <row r="112" spans="1:60" s="16" customFormat="1">
      <c r="A112" s="3" t="s">
        <v>187</v>
      </c>
      <c r="C112" s="16" t="s">
        <v>188</v>
      </c>
      <c r="E112" s="16">
        <v>125674</v>
      </c>
      <c r="G112" s="17">
        <v>0</v>
      </c>
      <c r="H112" s="17"/>
      <c r="I112" s="17">
        <v>2087362</v>
      </c>
      <c r="J112" s="17"/>
      <c r="K112" s="17">
        <v>1348</v>
      </c>
      <c r="L112" s="17"/>
      <c r="M112" s="17">
        <f>3219151+1147875</f>
        <v>4367026</v>
      </c>
      <c r="N112" s="17"/>
      <c r="O112" s="17">
        <v>0</v>
      </c>
      <c r="P112" s="17"/>
      <c r="Q112" s="17">
        <v>0</v>
      </c>
      <c r="R112" s="17"/>
      <c r="S112" s="17">
        <v>0</v>
      </c>
      <c r="T112" s="17"/>
      <c r="U112" s="17">
        <v>32839</v>
      </c>
      <c r="V112" s="17"/>
      <c r="W112" s="28">
        <f t="shared" si="24"/>
        <v>6488575</v>
      </c>
      <c r="X112" s="17"/>
      <c r="Y112" s="17">
        <v>0</v>
      </c>
      <c r="Z112" s="17"/>
      <c r="AA112" s="17">
        <v>0</v>
      </c>
      <c r="AB112" s="17"/>
      <c r="AC112" s="17">
        <v>0</v>
      </c>
      <c r="AD112" s="17"/>
      <c r="AE112" s="17">
        <v>0</v>
      </c>
      <c r="AF112" s="3" t="s">
        <v>187</v>
      </c>
      <c r="AH112" s="16" t="s">
        <v>188</v>
      </c>
      <c r="AI112" s="17"/>
      <c r="AJ112" s="17">
        <v>0</v>
      </c>
      <c r="AK112" s="17"/>
      <c r="AL112" s="17">
        <v>6256</v>
      </c>
      <c r="AM112" s="17"/>
      <c r="AN112" s="17"/>
      <c r="AO112" s="17"/>
      <c r="AP112" s="17">
        <v>0</v>
      </c>
      <c r="AQ112" s="17"/>
      <c r="AR112" s="17">
        <v>0</v>
      </c>
      <c r="AS112" s="17"/>
      <c r="AT112" s="28">
        <f t="shared" si="25"/>
        <v>6256</v>
      </c>
      <c r="AU112" s="17"/>
      <c r="AV112" s="28">
        <f t="shared" si="26"/>
        <v>6494831</v>
      </c>
      <c r="AY112" s="3" t="s">
        <v>406</v>
      </c>
      <c r="AZ112" s="3" t="str">
        <f t="shared" si="27"/>
        <v>Perry-Hocking Educ Srv Ctr</v>
      </c>
      <c r="BA112" s="3" t="b">
        <f t="shared" si="28"/>
        <v>1</v>
      </c>
      <c r="BB112" s="20" t="str">
        <f>GovBS!A112</f>
        <v>Perry-Hocking Educ Srv Ctr</v>
      </c>
      <c r="BC112" s="20" t="b">
        <f t="shared" si="29"/>
        <v>1</v>
      </c>
      <c r="BE112" s="20" t="str">
        <f t="shared" si="30"/>
        <v>Perry</v>
      </c>
      <c r="BF112" s="20" t="b">
        <f t="shared" si="31"/>
        <v>1</v>
      </c>
      <c r="BH112" s="20" t="b">
        <f>C112=GovBS!C112</f>
        <v>1</v>
      </c>
    </row>
    <row r="113" spans="1:60" s="16" customFormat="1">
      <c r="A113" s="3" t="s">
        <v>421</v>
      </c>
      <c r="C113" s="16" t="s">
        <v>189</v>
      </c>
      <c r="E113" s="16">
        <v>49072</v>
      </c>
      <c r="G113" s="17">
        <v>0</v>
      </c>
      <c r="H113" s="17"/>
      <c r="I113" s="17">
        <v>1081750</v>
      </c>
      <c r="J113" s="17"/>
      <c r="K113" s="17">
        <v>0</v>
      </c>
      <c r="L113" s="17"/>
      <c r="M113" s="17">
        <f>2955670+57025+325</f>
        <v>3013020</v>
      </c>
      <c r="N113" s="17"/>
      <c r="O113" s="17">
        <v>0</v>
      </c>
      <c r="P113" s="17"/>
      <c r="Q113" s="17">
        <v>0</v>
      </c>
      <c r="R113" s="17"/>
      <c r="S113" s="17">
        <v>4363</v>
      </c>
      <c r="T113" s="17"/>
      <c r="U113" s="17">
        <v>52218</v>
      </c>
      <c r="V113" s="17"/>
      <c r="W113" s="28">
        <f t="shared" si="24"/>
        <v>4151351</v>
      </c>
      <c r="X113" s="17"/>
      <c r="Y113" s="17">
        <v>619</v>
      </c>
      <c r="Z113" s="17"/>
      <c r="AA113" s="17">
        <v>0</v>
      </c>
      <c r="AB113" s="17"/>
      <c r="AC113" s="17">
        <v>0</v>
      </c>
      <c r="AD113" s="17"/>
      <c r="AE113" s="17">
        <v>0</v>
      </c>
      <c r="AF113" s="3" t="s">
        <v>421</v>
      </c>
      <c r="AH113" s="16" t="s">
        <v>189</v>
      </c>
      <c r="AI113" s="17"/>
      <c r="AJ113" s="17">
        <v>0</v>
      </c>
      <c r="AK113" s="17"/>
      <c r="AL113" s="17">
        <v>0</v>
      </c>
      <c r="AM113" s="17"/>
      <c r="AN113" s="17"/>
      <c r="AO113" s="17"/>
      <c r="AP113" s="17">
        <v>0</v>
      </c>
      <c r="AQ113" s="17"/>
      <c r="AR113" s="17">
        <v>0</v>
      </c>
      <c r="AS113" s="17"/>
      <c r="AT113" s="28">
        <f t="shared" si="25"/>
        <v>619</v>
      </c>
      <c r="AU113" s="17"/>
      <c r="AV113" s="28">
        <f t="shared" si="26"/>
        <v>4151970</v>
      </c>
      <c r="AY113" s="32"/>
      <c r="AZ113" s="3" t="str">
        <f t="shared" si="27"/>
        <v>Pickaway County Educ Srv Ctr</v>
      </c>
      <c r="BA113" s="3" t="b">
        <f t="shared" si="28"/>
        <v>1</v>
      </c>
      <c r="BB113" s="20" t="str">
        <f>GovBS!A113</f>
        <v>Pickaway County Educ Srv Ctr</v>
      </c>
      <c r="BC113" s="20" t="b">
        <f t="shared" si="29"/>
        <v>1</v>
      </c>
      <c r="BE113" s="20" t="str">
        <f t="shared" si="30"/>
        <v>Pickaway</v>
      </c>
      <c r="BF113" s="20" t="b">
        <f t="shared" si="31"/>
        <v>1</v>
      </c>
      <c r="BH113" s="20" t="b">
        <f>C113=GovBS!C113</f>
        <v>1</v>
      </c>
    </row>
    <row r="114" spans="1:60" s="16" customFormat="1">
      <c r="A114" s="3" t="s">
        <v>408</v>
      </c>
      <c r="C114" s="16" t="s">
        <v>190</v>
      </c>
      <c r="E114" s="16">
        <v>49163</v>
      </c>
      <c r="G114" s="17">
        <v>0</v>
      </c>
      <c r="H114" s="17"/>
      <c r="I114" s="17">
        <v>1456390</v>
      </c>
      <c r="J114" s="17"/>
      <c r="K114" s="17">
        <v>834</v>
      </c>
      <c r="L114" s="17"/>
      <c r="M114" s="17">
        <f>4436743+2826503</f>
        <v>7263246</v>
      </c>
      <c r="N114" s="17"/>
      <c r="O114" s="17">
        <v>0</v>
      </c>
      <c r="P114" s="17"/>
      <c r="Q114" s="17">
        <v>0</v>
      </c>
      <c r="R114" s="17"/>
      <c r="S114" s="17">
        <v>1050</v>
      </c>
      <c r="T114" s="17"/>
      <c r="U114" s="17">
        <v>23321</v>
      </c>
      <c r="V114" s="17"/>
      <c r="W114" s="28">
        <f t="shared" si="24"/>
        <v>8744841</v>
      </c>
      <c r="X114" s="17"/>
      <c r="Y114" s="17">
        <v>0</v>
      </c>
      <c r="Z114" s="17"/>
      <c r="AA114" s="17">
        <v>0</v>
      </c>
      <c r="AB114" s="17"/>
      <c r="AC114" s="17">
        <v>0</v>
      </c>
      <c r="AD114" s="17"/>
      <c r="AE114" s="17">
        <v>0</v>
      </c>
      <c r="AF114" s="3" t="s">
        <v>408</v>
      </c>
      <c r="AH114" s="16" t="s">
        <v>190</v>
      </c>
      <c r="AI114" s="17"/>
      <c r="AJ114" s="17">
        <v>0</v>
      </c>
      <c r="AK114" s="17"/>
      <c r="AL114" s="17">
        <v>0</v>
      </c>
      <c r="AM114" s="17"/>
      <c r="AN114" s="17"/>
      <c r="AO114" s="17"/>
      <c r="AP114" s="17">
        <v>0</v>
      </c>
      <c r="AQ114" s="17"/>
      <c r="AR114" s="17">
        <v>0</v>
      </c>
      <c r="AS114" s="17"/>
      <c r="AT114" s="28">
        <f t="shared" si="25"/>
        <v>0</v>
      </c>
      <c r="AU114" s="17"/>
      <c r="AV114" s="28">
        <f t="shared" si="26"/>
        <v>8744841</v>
      </c>
      <c r="AY114" s="32"/>
      <c r="AZ114" s="3" t="str">
        <f t="shared" si="27"/>
        <v>Portage County Educ Srv Ctr</v>
      </c>
      <c r="BA114" s="3" t="b">
        <f t="shared" si="28"/>
        <v>1</v>
      </c>
      <c r="BB114" s="20" t="str">
        <f>GovBS!A114</f>
        <v>Portage County Educ Srv Ctr</v>
      </c>
      <c r="BC114" s="20" t="b">
        <f t="shared" si="29"/>
        <v>1</v>
      </c>
      <c r="BE114" s="20" t="str">
        <f t="shared" si="30"/>
        <v>Portage</v>
      </c>
      <c r="BF114" s="20" t="b">
        <f t="shared" si="31"/>
        <v>1</v>
      </c>
      <c r="BH114" s="20" t="b">
        <f>C114=GovBS!C114</f>
        <v>1</v>
      </c>
    </row>
    <row r="115" spans="1:60" s="66" customFormat="1" hidden="1">
      <c r="A115" s="66" t="s">
        <v>409</v>
      </c>
      <c r="C115" s="66" t="s">
        <v>191</v>
      </c>
      <c r="E115" s="66">
        <v>49254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9">
        <f t="shared" si="24"/>
        <v>0</v>
      </c>
      <c r="X115" s="67"/>
      <c r="Y115" s="67"/>
      <c r="Z115" s="67"/>
      <c r="AA115" s="67"/>
      <c r="AB115" s="67"/>
      <c r="AC115" s="67"/>
      <c r="AD115" s="67"/>
      <c r="AE115" s="17">
        <v>0</v>
      </c>
      <c r="AF115" s="66" t="s">
        <v>409</v>
      </c>
      <c r="AH115" s="66" t="s">
        <v>191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9">
        <f t="shared" si="25"/>
        <v>0</v>
      </c>
      <c r="AU115" s="67"/>
      <c r="AV115" s="69">
        <f t="shared" si="26"/>
        <v>0</v>
      </c>
      <c r="AY115" s="80" t="s">
        <v>410</v>
      </c>
      <c r="AZ115" s="65" t="str">
        <f t="shared" si="27"/>
        <v>Preble County Educ Srv Ctr (CASH)</v>
      </c>
      <c r="BA115" s="65" t="b">
        <f t="shared" si="28"/>
        <v>1</v>
      </c>
      <c r="BB115" s="68" t="str">
        <f>GovBS!A115</f>
        <v>Preble County Educ Srv Ctr (CASH)</v>
      </c>
      <c r="BC115" s="68" t="b">
        <f t="shared" si="29"/>
        <v>1</v>
      </c>
      <c r="BE115" s="68" t="str">
        <f t="shared" si="30"/>
        <v>Preble</v>
      </c>
      <c r="BF115" s="68" t="b">
        <f t="shared" si="31"/>
        <v>1</v>
      </c>
      <c r="BH115" s="68" t="b">
        <f>C115=GovBS!C115</f>
        <v>1</v>
      </c>
    </row>
    <row r="116" spans="1:60" s="16" customFormat="1">
      <c r="A116" s="3" t="s">
        <v>411</v>
      </c>
      <c r="C116" s="16" t="s">
        <v>192</v>
      </c>
      <c r="E116" s="16">
        <v>49304</v>
      </c>
      <c r="G116" s="17">
        <v>0</v>
      </c>
      <c r="H116" s="17"/>
      <c r="I116" s="17">
        <f>14460+1658899+3284177</f>
        <v>4957536</v>
      </c>
      <c r="J116" s="17"/>
      <c r="K116" s="17">
        <v>6488</v>
      </c>
      <c r="L116" s="17"/>
      <c r="M116" s="17">
        <f>2002605+74558+130956</f>
        <v>2208119</v>
      </c>
      <c r="N116" s="17"/>
      <c r="O116" s="17">
        <v>20</v>
      </c>
      <c r="P116" s="17"/>
      <c r="Q116" s="17">
        <v>0</v>
      </c>
      <c r="R116" s="17"/>
      <c r="S116" s="17">
        <v>24783</v>
      </c>
      <c r="T116" s="17"/>
      <c r="U116" s="17">
        <v>57772</v>
      </c>
      <c r="V116" s="17"/>
      <c r="W116" s="28">
        <f t="shared" si="24"/>
        <v>7254718</v>
      </c>
      <c r="X116" s="17"/>
      <c r="Y116" s="17">
        <v>0</v>
      </c>
      <c r="Z116" s="17"/>
      <c r="AA116" s="17">
        <v>0</v>
      </c>
      <c r="AB116" s="17"/>
      <c r="AC116" s="17">
        <v>0</v>
      </c>
      <c r="AD116" s="17"/>
      <c r="AE116" s="17">
        <v>0</v>
      </c>
      <c r="AF116" s="3" t="s">
        <v>411</v>
      </c>
      <c r="AH116" s="16" t="s">
        <v>192</v>
      </c>
      <c r="AI116" s="17"/>
      <c r="AJ116" s="17">
        <v>0</v>
      </c>
      <c r="AK116" s="17"/>
      <c r="AL116" s="17">
        <v>33598</v>
      </c>
      <c r="AM116" s="17"/>
      <c r="AN116" s="17"/>
      <c r="AO116" s="17"/>
      <c r="AP116" s="17">
        <v>0</v>
      </c>
      <c r="AQ116" s="17"/>
      <c r="AR116" s="17">
        <v>0</v>
      </c>
      <c r="AS116" s="17"/>
      <c r="AT116" s="28">
        <f t="shared" si="25"/>
        <v>33598</v>
      </c>
      <c r="AU116" s="17"/>
      <c r="AV116" s="28">
        <f t="shared" si="26"/>
        <v>7288316</v>
      </c>
      <c r="AY116" s="3"/>
      <c r="AZ116" s="3" t="str">
        <f t="shared" si="27"/>
        <v>Putnam County Educ Srv Ctr</v>
      </c>
      <c r="BA116" s="3" t="b">
        <f t="shared" si="28"/>
        <v>1</v>
      </c>
      <c r="BB116" s="20" t="str">
        <f>GovBS!A116</f>
        <v>Putnam County Educ Srv Ctr</v>
      </c>
      <c r="BC116" s="20" t="b">
        <f t="shared" si="29"/>
        <v>1</v>
      </c>
      <c r="BE116" s="20" t="str">
        <f t="shared" si="30"/>
        <v>Putnam</v>
      </c>
      <c r="BF116" s="20" t="b">
        <f t="shared" si="31"/>
        <v>1</v>
      </c>
      <c r="BH116" s="20" t="b">
        <f>C116=GovBS!C116</f>
        <v>1</v>
      </c>
    </row>
    <row r="117" spans="1:60" s="16" customFormat="1">
      <c r="A117" s="3" t="s">
        <v>412</v>
      </c>
      <c r="C117" s="16" t="s">
        <v>194</v>
      </c>
      <c r="E117" s="16">
        <v>138222</v>
      </c>
      <c r="G117" s="17">
        <v>0</v>
      </c>
      <c r="H117" s="17"/>
      <c r="I117" s="17">
        <v>3571645</v>
      </c>
      <c r="J117" s="17"/>
      <c r="K117" s="17">
        <v>21274</v>
      </c>
      <c r="L117" s="17"/>
      <c r="M117" s="17">
        <f>6534126+441141+39106</f>
        <v>7014373</v>
      </c>
      <c r="N117" s="17"/>
      <c r="O117" s="17">
        <v>0</v>
      </c>
      <c r="P117" s="17"/>
      <c r="Q117" s="17">
        <v>0</v>
      </c>
      <c r="R117" s="17"/>
      <c r="S117" s="17">
        <v>4067</v>
      </c>
      <c r="T117" s="17"/>
      <c r="U117" s="17">
        <v>172442</v>
      </c>
      <c r="V117" s="17"/>
      <c r="W117" s="28">
        <f t="shared" si="24"/>
        <v>10783801</v>
      </c>
      <c r="X117" s="17"/>
      <c r="Y117" s="17">
        <v>0</v>
      </c>
      <c r="Z117" s="17"/>
      <c r="AA117" s="17">
        <v>0</v>
      </c>
      <c r="AB117" s="17"/>
      <c r="AC117" s="17">
        <v>0</v>
      </c>
      <c r="AD117" s="17"/>
      <c r="AE117" s="17">
        <v>0</v>
      </c>
      <c r="AF117" s="3" t="s">
        <v>412</v>
      </c>
      <c r="AH117" s="16" t="s">
        <v>194</v>
      </c>
      <c r="AI117" s="17"/>
      <c r="AJ117" s="17">
        <v>0</v>
      </c>
      <c r="AK117" s="17"/>
      <c r="AL117" s="17">
        <v>1917</v>
      </c>
      <c r="AM117" s="17"/>
      <c r="AN117" s="17"/>
      <c r="AO117" s="17"/>
      <c r="AP117" s="17">
        <v>0</v>
      </c>
      <c r="AQ117" s="17"/>
      <c r="AR117" s="17">
        <v>0</v>
      </c>
      <c r="AS117" s="17"/>
      <c r="AT117" s="28">
        <f t="shared" si="25"/>
        <v>1917</v>
      </c>
      <c r="AU117" s="17"/>
      <c r="AV117" s="28">
        <f t="shared" si="26"/>
        <v>10785718</v>
      </c>
      <c r="AY117" s="3"/>
      <c r="AZ117" s="3" t="str">
        <f t="shared" si="27"/>
        <v>Ross-Pike Educ Srv District</v>
      </c>
      <c r="BA117" s="3" t="b">
        <f t="shared" si="28"/>
        <v>1</v>
      </c>
      <c r="BB117" s="20" t="str">
        <f>GovBS!A117</f>
        <v>Ross-Pike Educ Srv District</v>
      </c>
      <c r="BC117" s="20" t="b">
        <f t="shared" si="29"/>
        <v>1</v>
      </c>
      <c r="BE117" s="20" t="str">
        <f t="shared" si="30"/>
        <v>Ross</v>
      </c>
      <c r="BF117" s="20" t="b">
        <f t="shared" si="31"/>
        <v>1</v>
      </c>
      <c r="BH117" s="20" t="b">
        <f>C117=GovBS!C117</f>
        <v>1</v>
      </c>
    </row>
    <row r="118" spans="1:60" s="66" customFormat="1" hidden="1">
      <c r="A118" s="65" t="s">
        <v>341</v>
      </c>
      <c r="C118" s="66" t="s">
        <v>195</v>
      </c>
      <c r="E118" s="66">
        <v>49551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9">
        <f t="shared" si="24"/>
        <v>0</v>
      </c>
      <c r="X118" s="67"/>
      <c r="Y118" s="67"/>
      <c r="Z118" s="67"/>
      <c r="AA118" s="67"/>
      <c r="AB118" s="67"/>
      <c r="AC118" s="67"/>
      <c r="AD118" s="67"/>
      <c r="AE118" s="17">
        <v>0</v>
      </c>
      <c r="AF118" s="65" t="s">
        <v>341</v>
      </c>
      <c r="AH118" s="66" t="s">
        <v>195</v>
      </c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9">
        <f t="shared" si="25"/>
        <v>0</v>
      </c>
      <c r="AU118" s="67"/>
      <c r="AV118" s="69">
        <f t="shared" si="26"/>
        <v>0</v>
      </c>
      <c r="AY118" s="65" t="s">
        <v>321</v>
      </c>
      <c r="AZ118" s="65" t="str">
        <f t="shared" si="27"/>
        <v>Sandusky Educ Srv Ctr - merged with two other ESC</v>
      </c>
      <c r="BA118" s="65" t="b">
        <f t="shared" si="28"/>
        <v>1</v>
      </c>
      <c r="BB118" s="68" t="str">
        <f>GovBS!A118</f>
        <v>Sandusky Educ Srv Ctr - merged with two other ESC</v>
      </c>
      <c r="BC118" s="68" t="b">
        <f t="shared" si="29"/>
        <v>1</v>
      </c>
      <c r="BE118" s="68" t="str">
        <f t="shared" si="30"/>
        <v>Sandusky</v>
      </c>
      <c r="BF118" s="68" t="b">
        <f t="shared" si="31"/>
        <v>1</v>
      </c>
      <c r="BH118" s="68" t="b">
        <f>C118=GovBS!C118</f>
        <v>1</v>
      </c>
    </row>
    <row r="119" spans="1:60" s="16" customFormat="1">
      <c r="A119" s="3" t="s">
        <v>417</v>
      </c>
      <c r="C119" s="16" t="s">
        <v>198</v>
      </c>
      <c r="E119" s="16">
        <v>49742</v>
      </c>
      <c r="G119" s="17">
        <v>0</v>
      </c>
      <c r="H119" s="17"/>
      <c r="I119" s="17">
        <f>638399+412014+937541</f>
        <v>1987954</v>
      </c>
      <c r="J119" s="17"/>
      <c r="K119" s="17">
        <v>1571</v>
      </c>
      <c r="L119" s="17"/>
      <c r="M119" s="17">
        <v>3247804</v>
      </c>
      <c r="N119" s="17"/>
      <c r="O119" s="17">
        <v>1944</v>
      </c>
      <c r="P119" s="17"/>
      <c r="Q119" s="17">
        <v>0</v>
      </c>
      <c r="R119" s="17"/>
      <c r="S119" s="17">
        <v>38432</v>
      </c>
      <c r="T119" s="17"/>
      <c r="U119" s="17">
        <v>72826</v>
      </c>
      <c r="V119" s="17"/>
      <c r="W119" s="28">
        <f t="shared" si="24"/>
        <v>5350531</v>
      </c>
      <c r="X119" s="17"/>
      <c r="Y119" s="17">
        <v>0</v>
      </c>
      <c r="Z119" s="17"/>
      <c r="AA119" s="17">
        <v>0</v>
      </c>
      <c r="AB119" s="17"/>
      <c r="AC119" s="17">
        <v>0</v>
      </c>
      <c r="AD119" s="17"/>
      <c r="AE119" s="17">
        <v>0</v>
      </c>
      <c r="AF119" s="3" t="s">
        <v>417</v>
      </c>
      <c r="AH119" s="16" t="s">
        <v>198</v>
      </c>
      <c r="AI119" s="17"/>
      <c r="AJ119" s="17">
        <v>0</v>
      </c>
      <c r="AK119" s="17"/>
      <c r="AL119" s="17">
        <v>0</v>
      </c>
      <c r="AM119" s="17"/>
      <c r="AN119" s="17">
        <v>0</v>
      </c>
      <c r="AO119" s="17"/>
      <c r="AP119" s="17">
        <v>0</v>
      </c>
      <c r="AQ119" s="17"/>
      <c r="AR119" s="17">
        <v>0</v>
      </c>
      <c r="AS119" s="17"/>
      <c r="AT119" s="28">
        <f t="shared" si="25"/>
        <v>0</v>
      </c>
      <c r="AU119" s="17"/>
      <c r="AV119" s="28">
        <f t="shared" si="26"/>
        <v>5350531</v>
      </c>
      <c r="AY119" s="32" t="s">
        <v>418</v>
      </c>
      <c r="AZ119" s="3" t="str">
        <f t="shared" si="27"/>
        <v>Shelby County Educ Srv Ctr</v>
      </c>
      <c r="BA119" s="3" t="b">
        <f t="shared" si="28"/>
        <v>1</v>
      </c>
      <c r="BB119" s="20" t="str">
        <f>GovBS!A119</f>
        <v>Shelby County Educ Srv Ctr</v>
      </c>
      <c r="BC119" s="20" t="b">
        <f t="shared" si="29"/>
        <v>1</v>
      </c>
      <c r="BE119" s="20" t="str">
        <f t="shared" si="30"/>
        <v>Shelby</v>
      </c>
      <c r="BF119" s="20" t="b">
        <f t="shared" si="31"/>
        <v>1</v>
      </c>
      <c r="BH119" s="20" t="b">
        <f>C119=GovBS!C119</f>
        <v>1</v>
      </c>
    </row>
    <row r="120" spans="1:60" s="16" customFormat="1">
      <c r="A120" s="3" t="s">
        <v>275</v>
      </c>
      <c r="C120" s="16" t="s">
        <v>196</v>
      </c>
      <c r="E120" s="16">
        <v>125658</v>
      </c>
      <c r="G120" s="17">
        <v>0</v>
      </c>
      <c r="H120" s="17"/>
      <c r="I120" s="17">
        <v>2312099</v>
      </c>
      <c r="J120" s="17"/>
      <c r="K120" s="17">
        <v>6658</v>
      </c>
      <c r="L120" s="17"/>
      <c r="M120" s="17">
        <f>5728086+1047283</f>
        <v>6775369</v>
      </c>
      <c r="N120" s="17"/>
      <c r="O120" s="17">
        <v>0</v>
      </c>
      <c r="P120" s="17"/>
      <c r="Q120" s="17">
        <v>0</v>
      </c>
      <c r="R120" s="17"/>
      <c r="S120" s="17">
        <v>33956</v>
      </c>
      <c r="T120" s="17"/>
      <c r="U120" s="17">
        <v>1957</v>
      </c>
      <c r="V120" s="17"/>
      <c r="W120" s="28">
        <f t="shared" si="24"/>
        <v>9130039</v>
      </c>
      <c r="X120" s="17"/>
      <c r="Y120" s="17">
        <v>0</v>
      </c>
      <c r="Z120" s="17"/>
      <c r="AA120" s="17">
        <v>0</v>
      </c>
      <c r="AB120" s="17"/>
      <c r="AC120" s="17">
        <v>0</v>
      </c>
      <c r="AD120" s="17"/>
      <c r="AE120" s="17">
        <v>0</v>
      </c>
      <c r="AF120" s="3" t="s">
        <v>275</v>
      </c>
      <c r="AH120" s="16" t="s">
        <v>196</v>
      </c>
      <c r="AI120" s="17"/>
      <c r="AJ120" s="17">
        <v>0</v>
      </c>
      <c r="AK120" s="17"/>
      <c r="AL120" s="17">
        <v>0</v>
      </c>
      <c r="AM120" s="17"/>
      <c r="AN120" s="17">
        <v>0</v>
      </c>
      <c r="AO120" s="17"/>
      <c r="AP120" s="17">
        <v>0</v>
      </c>
      <c r="AQ120" s="17"/>
      <c r="AR120" s="17">
        <v>0</v>
      </c>
      <c r="AS120" s="17"/>
      <c r="AT120" s="28">
        <f t="shared" si="25"/>
        <v>0</v>
      </c>
      <c r="AU120" s="17"/>
      <c r="AV120" s="28">
        <f t="shared" si="26"/>
        <v>9130039</v>
      </c>
      <c r="AY120" s="3"/>
      <c r="AZ120" s="3" t="str">
        <f t="shared" si="27"/>
        <v>South Central Ohio Educ Srv Ctr</v>
      </c>
      <c r="BA120" s="3" t="b">
        <f t="shared" si="28"/>
        <v>1</v>
      </c>
      <c r="BB120" s="20" t="str">
        <f>GovBS!A120</f>
        <v>South Central Ohio Educ Srv Ctr</v>
      </c>
      <c r="BC120" s="20" t="b">
        <f t="shared" si="29"/>
        <v>1</v>
      </c>
      <c r="BE120" s="20" t="str">
        <f t="shared" si="30"/>
        <v>Scioto</v>
      </c>
      <c r="BF120" s="20" t="b">
        <f t="shared" si="31"/>
        <v>1</v>
      </c>
      <c r="BH120" s="20" t="b">
        <f>C120=GovBS!C120</f>
        <v>1</v>
      </c>
    </row>
    <row r="121" spans="1:60" s="16" customFormat="1">
      <c r="A121" s="3" t="s">
        <v>274</v>
      </c>
      <c r="B121" s="3"/>
      <c r="C121" s="3" t="s">
        <v>158</v>
      </c>
      <c r="G121" s="17">
        <v>0</v>
      </c>
      <c r="H121" s="17"/>
      <c r="I121" s="17">
        <v>1319614</v>
      </c>
      <c r="J121" s="17"/>
      <c r="K121" s="17">
        <v>74828</v>
      </c>
      <c r="L121" s="17"/>
      <c r="M121" s="17">
        <f>2003417+192434</f>
        <v>2195851</v>
      </c>
      <c r="N121" s="17"/>
      <c r="O121" s="17">
        <v>0</v>
      </c>
      <c r="P121" s="17"/>
      <c r="Q121" s="17">
        <v>0</v>
      </c>
      <c r="R121" s="17"/>
      <c r="S121" s="17">
        <v>0</v>
      </c>
      <c r="T121" s="17"/>
      <c r="U121" s="17">
        <v>34470</v>
      </c>
      <c r="V121" s="17"/>
      <c r="W121" s="28">
        <f t="shared" si="24"/>
        <v>3624763</v>
      </c>
      <c r="X121" s="17"/>
      <c r="Y121" s="17">
        <v>0</v>
      </c>
      <c r="Z121" s="17"/>
      <c r="AA121" s="17">
        <v>0</v>
      </c>
      <c r="AB121" s="17"/>
      <c r="AC121" s="17">
        <v>0</v>
      </c>
      <c r="AD121" s="17"/>
      <c r="AE121" s="17">
        <v>0</v>
      </c>
      <c r="AF121" s="3" t="s">
        <v>274</v>
      </c>
      <c r="AG121" s="3"/>
      <c r="AH121" s="3" t="s">
        <v>158</v>
      </c>
      <c r="AI121" s="17"/>
      <c r="AJ121" s="17">
        <v>0</v>
      </c>
      <c r="AK121" s="17"/>
      <c r="AL121" s="17">
        <v>105</v>
      </c>
      <c r="AM121" s="17"/>
      <c r="AN121" s="17">
        <v>0</v>
      </c>
      <c r="AO121" s="17"/>
      <c r="AP121" s="17">
        <v>0</v>
      </c>
      <c r="AQ121" s="17"/>
      <c r="AR121" s="17">
        <v>0</v>
      </c>
      <c r="AS121" s="17"/>
      <c r="AT121" s="28">
        <f t="shared" si="25"/>
        <v>105</v>
      </c>
      <c r="AU121" s="17"/>
      <c r="AV121" s="28">
        <f t="shared" si="26"/>
        <v>3624868</v>
      </c>
      <c r="AY121" s="19"/>
      <c r="AZ121" s="3" t="str">
        <f t="shared" si="27"/>
        <v>Southern Ohio Educ Srv Ctr</v>
      </c>
      <c r="BA121" s="3" t="b">
        <f t="shared" si="28"/>
        <v>1</v>
      </c>
      <c r="BB121" s="20" t="str">
        <f>GovBS!A121</f>
        <v>Southern Ohio Educ Srv Ctr</v>
      </c>
      <c r="BC121" s="20" t="b">
        <f t="shared" si="29"/>
        <v>1</v>
      </c>
      <c r="BE121" s="20" t="str">
        <f t="shared" si="30"/>
        <v>Clinton</v>
      </c>
      <c r="BF121" s="20" t="b">
        <f t="shared" si="31"/>
        <v>1</v>
      </c>
      <c r="BH121" s="20" t="b">
        <f>C121=GovBS!C121</f>
        <v>1</v>
      </c>
    </row>
    <row r="122" spans="1:60" s="16" customFormat="1">
      <c r="A122" s="16" t="s">
        <v>419</v>
      </c>
      <c r="C122" s="16" t="s">
        <v>199</v>
      </c>
      <c r="E122" s="16">
        <v>49825</v>
      </c>
      <c r="G122" s="17">
        <v>0</v>
      </c>
      <c r="H122" s="17"/>
      <c r="I122" s="17">
        <f>332472+4090587+2321874</f>
        <v>6744933</v>
      </c>
      <c r="J122" s="17"/>
      <c r="K122" s="17">
        <v>17683</v>
      </c>
      <c r="L122" s="17"/>
      <c r="M122" s="17">
        <f>8046378+5339458+18230</f>
        <v>13404066</v>
      </c>
      <c r="N122" s="17"/>
      <c r="O122" s="17">
        <v>0</v>
      </c>
      <c r="P122" s="17"/>
      <c r="Q122" s="17">
        <v>0</v>
      </c>
      <c r="R122" s="17"/>
      <c r="S122" s="17">
        <v>17666</v>
      </c>
      <c r="T122" s="17"/>
      <c r="U122" s="17">
        <f>66428+188471</f>
        <v>254899</v>
      </c>
      <c r="V122" s="17"/>
      <c r="W122" s="28">
        <f t="shared" si="24"/>
        <v>20439247</v>
      </c>
      <c r="X122" s="17"/>
      <c r="Y122" s="17">
        <v>0</v>
      </c>
      <c r="Z122" s="17"/>
      <c r="AA122" s="17">
        <v>0</v>
      </c>
      <c r="AB122" s="17"/>
      <c r="AC122" s="17">
        <v>0</v>
      </c>
      <c r="AD122" s="17"/>
      <c r="AE122" s="17">
        <v>0</v>
      </c>
      <c r="AF122" s="16" t="s">
        <v>419</v>
      </c>
      <c r="AH122" s="16" t="s">
        <v>199</v>
      </c>
      <c r="AI122" s="17"/>
      <c r="AJ122" s="17">
        <v>0</v>
      </c>
      <c r="AK122" s="17"/>
      <c r="AL122" s="17">
        <v>286</v>
      </c>
      <c r="AM122" s="17"/>
      <c r="AN122" s="17">
        <v>0</v>
      </c>
      <c r="AO122" s="17"/>
      <c r="AP122" s="17">
        <v>0</v>
      </c>
      <c r="AQ122" s="17"/>
      <c r="AR122" s="17">
        <v>0</v>
      </c>
      <c r="AS122" s="17"/>
      <c r="AT122" s="28">
        <f t="shared" si="25"/>
        <v>286</v>
      </c>
      <c r="AU122" s="17"/>
      <c r="AV122" s="28">
        <f t="shared" si="26"/>
        <v>20439533</v>
      </c>
      <c r="AY122" s="30"/>
      <c r="AZ122" s="3" t="str">
        <f t="shared" si="27"/>
        <v xml:space="preserve">Stark County Educ Srv Ctr  </v>
      </c>
      <c r="BA122" s="3" t="b">
        <f t="shared" si="28"/>
        <v>1</v>
      </c>
      <c r="BB122" s="20" t="str">
        <f>GovBS!A122</f>
        <v xml:space="preserve">Stark County Educ Srv Ctr  </v>
      </c>
      <c r="BC122" s="20" t="b">
        <f t="shared" si="29"/>
        <v>1</v>
      </c>
      <c r="BE122" s="20" t="str">
        <f t="shared" si="30"/>
        <v>Stark</v>
      </c>
      <c r="BF122" s="20" t="b">
        <f t="shared" si="31"/>
        <v>1</v>
      </c>
      <c r="BH122" s="20" t="b">
        <f>C122=GovBS!C122</f>
        <v>1</v>
      </c>
    </row>
    <row r="123" spans="1:60" s="16" customFormat="1">
      <c r="A123" s="3" t="s">
        <v>420</v>
      </c>
      <c r="C123" s="16" t="s">
        <v>200</v>
      </c>
      <c r="E123" s="16">
        <v>49965</v>
      </c>
      <c r="G123" s="17">
        <v>0</v>
      </c>
      <c r="H123" s="17"/>
      <c r="I123" s="17">
        <v>4765996</v>
      </c>
      <c r="J123" s="17"/>
      <c r="K123" s="17">
        <v>9617</v>
      </c>
      <c r="L123" s="17"/>
      <c r="M123" s="17">
        <f>2989405+7412298</f>
        <v>10401703</v>
      </c>
      <c r="N123" s="17"/>
      <c r="O123" s="17">
        <v>0</v>
      </c>
      <c r="P123" s="17"/>
      <c r="Q123" s="17">
        <v>0</v>
      </c>
      <c r="R123" s="17"/>
      <c r="S123" s="17">
        <v>0</v>
      </c>
      <c r="T123" s="17"/>
      <c r="U123" s="17">
        <v>6863</v>
      </c>
      <c r="V123" s="17"/>
      <c r="W123" s="28">
        <f t="shared" si="24"/>
        <v>15184179</v>
      </c>
      <c r="X123" s="17"/>
      <c r="Y123" s="17">
        <v>0</v>
      </c>
      <c r="Z123" s="17"/>
      <c r="AA123" s="17">
        <v>0</v>
      </c>
      <c r="AB123" s="17"/>
      <c r="AC123" s="17">
        <v>0</v>
      </c>
      <c r="AD123" s="17"/>
      <c r="AE123" s="17">
        <v>0</v>
      </c>
      <c r="AF123" s="3" t="s">
        <v>420</v>
      </c>
      <c r="AH123" s="16" t="s">
        <v>200</v>
      </c>
      <c r="AI123" s="17"/>
      <c r="AJ123" s="17">
        <v>0</v>
      </c>
      <c r="AK123" s="17"/>
      <c r="AL123" s="17">
        <v>0</v>
      </c>
      <c r="AM123" s="17"/>
      <c r="AN123" s="17">
        <v>0</v>
      </c>
      <c r="AO123" s="17"/>
      <c r="AP123" s="17">
        <v>0</v>
      </c>
      <c r="AQ123" s="17"/>
      <c r="AR123" s="17">
        <v>0</v>
      </c>
      <c r="AS123" s="17"/>
      <c r="AT123" s="28">
        <f t="shared" si="25"/>
        <v>0</v>
      </c>
      <c r="AU123" s="17"/>
      <c r="AV123" s="28">
        <f t="shared" si="26"/>
        <v>15184179</v>
      </c>
      <c r="AY123" s="32" t="s">
        <v>305</v>
      </c>
      <c r="AZ123" s="3" t="str">
        <f t="shared" si="27"/>
        <v>Summit County Educ Srv Ctr</v>
      </c>
      <c r="BA123" s="3" t="b">
        <f t="shared" si="28"/>
        <v>1</v>
      </c>
      <c r="BB123" s="20" t="str">
        <f>GovBS!A123</f>
        <v>Summit County Educ Srv Ctr</v>
      </c>
      <c r="BC123" s="20" t="b">
        <f t="shared" si="29"/>
        <v>1</v>
      </c>
      <c r="BE123" s="20" t="str">
        <f t="shared" si="30"/>
        <v>Summit</v>
      </c>
      <c r="BF123" s="20" t="b">
        <f t="shared" si="31"/>
        <v>1</v>
      </c>
      <c r="BH123" s="20" t="b">
        <f>C123=GovBS!C123</f>
        <v>1</v>
      </c>
    </row>
    <row r="124" spans="1:60" s="16" customFormat="1">
      <c r="A124" s="3" t="s">
        <v>207</v>
      </c>
      <c r="C124" s="16" t="s">
        <v>208</v>
      </c>
      <c r="E124" s="16">
        <v>50526</v>
      </c>
      <c r="G124" s="17">
        <v>0</v>
      </c>
      <c r="H124" s="17"/>
      <c r="I124" s="17">
        <f>50000+3304210+1265915</f>
        <v>4620125</v>
      </c>
      <c r="J124" s="17"/>
      <c r="K124" s="17">
        <v>2948</v>
      </c>
      <c r="L124" s="17"/>
      <c r="M124" s="17">
        <f>8092442+1725843</f>
        <v>9818285</v>
      </c>
      <c r="N124" s="17"/>
      <c r="O124" s="17">
        <v>0</v>
      </c>
      <c r="P124" s="17"/>
      <c r="Q124" s="17">
        <v>0</v>
      </c>
      <c r="R124" s="17"/>
      <c r="S124" s="17">
        <v>42240</v>
      </c>
      <c r="T124" s="17"/>
      <c r="U124" s="17">
        <v>46476</v>
      </c>
      <c r="V124" s="17"/>
      <c r="W124" s="28">
        <f t="shared" si="24"/>
        <v>14530074</v>
      </c>
      <c r="X124" s="17"/>
      <c r="Y124" s="17">
        <v>14302</v>
      </c>
      <c r="Z124" s="17"/>
      <c r="AA124" s="17">
        <v>0</v>
      </c>
      <c r="AB124" s="17"/>
      <c r="AC124" s="17">
        <v>0</v>
      </c>
      <c r="AD124" s="17"/>
      <c r="AE124" s="17">
        <v>0</v>
      </c>
      <c r="AF124" s="3" t="s">
        <v>207</v>
      </c>
      <c r="AH124" s="16" t="s">
        <v>208</v>
      </c>
      <c r="AI124" s="17"/>
      <c r="AJ124" s="17">
        <v>0</v>
      </c>
      <c r="AK124" s="17"/>
      <c r="AL124" s="17">
        <v>0</v>
      </c>
      <c r="AM124" s="17"/>
      <c r="AN124" s="17">
        <v>0</v>
      </c>
      <c r="AO124" s="17"/>
      <c r="AP124" s="17">
        <v>0</v>
      </c>
      <c r="AQ124" s="17"/>
      <c r="AR124" s="17">
        <v>0</v>
      </c>
      <c r="AS124" s="17"/>
      <c r="AT124" s="28">
        <f t="shared" si="25"/>
        <v>14302</v>
      </c>
      <c r="AU124" s="17"/>
      <c r="AV124" s="28">
        <f t="shared" si="26"/>
        <v>14544376</v>
      </c>
      <c r="AY124" s="32"/>
      <c r="AZ124" s="3" t="str">
        <f t="shared" si="27"/>
        <v>Tri-County Educ Srv Ctr</v>
      </c>
      <c r="BA124" s="3" t="b">
        <f t="shared" si="28"/>
        <v>1</v>
      </c>
      <c r="BB124" s="20" t="str">
        <f>GovBS!A124</f>
        <v>Tri-County Educ Srv Ctr</v>
      </c>
      <c r="BC124" s="20" t="b">
        <f t="shared" si="29"/>
        <v>1</v>
      </c>
      <c r="BE124" s="20" t="str">
        <f t="shared" si="30"/>
        <v>Wayne</v>
      </c>
      <c r="BF124" s="20" t="b">
        <f t="shared" si="31"/>
        <v>1</v>
      </c>
      <c r="BH124" s="20" t="b">
        <f>C124=GovBS!C124</f>
        <v>1</v>
      </c>
    </row>
    <row r="125" spans="1:60" s="16" customFormat="1">
      <c r="A125" s="3" t="s">
        <v>422</v>
      </c>
      <c r="C125" s="16" t="s">
        <v>201</v>
      </c>
      <c r="E125" s="16">
        <v>50088</v>
      </c>
      <c r="G125" s="17">
        <v>0</v>
      </c>
      <c r="H125" s="17"/>
      <c r="I125" s="17">
        <f>2305752+235912</f>
        <v>2541664</v>
      </c>
      <c r="J125" s="17"/>
      <c r="K125" s="17">
        <v>70406</v>
      </c>
      <c r="L125" s="17"/>
      <c r="M125" s="17">
        <f>13289712+16217</f>
        <v>13305929</v>
      </c>
      <c r="N125" s="17"/>
      <c r="O125" s="17">
        <v>0</v>
      </c>
      <c r="P125" s="17"/>
      <c r="Q125" s="17">
        <v>0</v>
      </c>
      <c r="R125" s="17"/>
      <c r="S125" s="17">
        <v>17100</v>
      </c>
      <c r="T125" s="17"/>
      <c r="U125" s="17">
        <v>20054</v>
      </c>
      <c r="V125" s="17"/>
      <c r="W125" s="28">
        <f t="shared" si="24"/>
        <v>15955153</v>
      </c>
      <c r="X125" s="17"/>
      <c r="Y125" s="17">
        <v>0</v>
      </c>
      <c r="Z125" s="17"/>
      <c r="AA125" s="17">
        <v>0</v>
      </c>
      <c r="AB125" s="17"/>
      <c r="AC125" s="17">
        <v>0</v>
      </c>
      <c r="AD125" s="17"/>
      <c r="AE125" s="17">
        <v>0</v>
      </c>
      <c r="AF125" s="3" t="s">
        <v>422</v>
      </c>
      <c r="AH125" s="16" t="s">
        <v>201</v>
      </c>
      <c r="AI125" s="17"/>
      <c r="AJ125" s="17">
        <v>41231</v>
      </c>
      <c r="AK125" s="17"/>
      <c r="AL125" s="17">
        <v>0</v>
      </c>
      <c r="AM125" s="17"/>
      <c r="AN125" s="17">
        <v>0</v>
      </c>
      <c r="AO125" s="17"/>
      <c r="AP125" s="17">
        <v>0</v>
      </c>
      <c r="AQ125" s="17"/>
      <c r="AR125" s="17">
        <v>0</v>
      </c>
      <c r="AS125" s="17"/>
      <c r="AT125" s="28">
        <f t="shared" si="25"/>
        <v>41231</v>
      </c>
      <c r="AU125" s="17"/>
      <c r="AV125" s="28">
        <f t="shared" si="26"/>
        <v>15996384</v>
      </c>
      <c r="AY125" s="3"/>
      <c r="AZ125" s="3" t="str">
        <f t="shared" si="27"/>
        <v>Trumbull County Educ Srv Ctr</v>
      </c>
      <c r="BA125" s="3" t="b">
        <f t="shared" si="28"/>
        <v>1</v>
      </c>
      <c r="BB125" s="20" t="str">
        <f>GovBS!A125</f>
        <v>Trumbull County Educ Srv Ctr</v>
      </c>
      <c r="BC125" s="20" t="b">
        <f t="shared" si="29"/>
        <v>1</v>
      </c>
      <c r="BE125" s="20" t="str">
        <f t="shared" si="30"/>
        <v>Trumbull</v>
      </c>
      <c r="BF125" s="20" t="b">
        <f t="shared" si="31"/>
        <v>1</v>
      </c>
      <c r="BH125" s="20" t="b">
        <f>C125=GovBS!C125</f>
        <v>1</v>
      </c>
    </row>
    <row r="126" spans="1:60" s="66" customFormat="1" hidden="1">
      <c r="A126" s="65" t="s">
        <v>342</v>
      </c>
      <c r="C126" s="66" t="s">
        <v>202</v>
      </c>
      <c r="E126" s="66">
        <v>50260</v>
      </c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9">
        <f t="shared" si="24"/>
        <v>0</v>
      </c>
      <c r="X126" s="67"/>
      <c r="Y126" s="67"/>
      <c r="Z126" s="67"/>
      <c r="AA126" s="67"/>
      <c r="AB126" s="67"/>
      <c r="AC126" s="67"/>
      <c r="AD126" s="67"/>
      <c r="AE126" s="67"/>
      <c r="AF126" s="65" t="s">
        <v>342</v>
      </c>
      <c r="AH126" s="66" t="s">
        <v>202</v>
      </c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9">
        <f t="shared" si="25"/>
        <v>0</v>
      </c>
      <c r="AU126" s="67"/>
      <c r="AV126" s="69">
        <f t="shared" si="26"/>
        <v>0</v>
      </c>
      <c r="AY126" s="65"/>
      <c r="AZ126" s="65" t="str">
        <f t="shared" si="27"/>
        <v>Tuscarawas-Carroll-Harrison Educ Srv Ctr - now East Ctl OH ESC</v>
      </c>
      <c r="BA126" s="65" t="b">
        <f t="shared" si="28"/>
        <v>1</v>
      </c>
      <c r="BB126" s="68" t="str">
        <f>GovBS!A126</f>
        <v>Tuscarawas-Carroll-Harrison Educ Srv Ctr - now East Ctl OH ESC</v>
      </c>
      <c r="BC126" s="68" t="b">
        <f t="shared" si="29"/>
        <v>1</v>
      </c>
      <c r="BE126" s="68" t="str">
        <f t="shared" si="30"/>
        <v>Tuscarawas</v>
      </c>
      <c r="BF126" s="68" t="b">
        <f t="shared" si="31"/>
        <v>1</v>
      </c>
      <c r="BH126" s="68" t="b">
        <f>C126=GovBS!C126</f>
        <v>1</v>
      </c>
    </row>
    <row r="127" spans="1:60" s="66" customFormat="1" hidden="1">
      <c r="A127" s="65" t="s">
        <v>424</v>
      </c>
      <c r="C127" s="66" t="s">
        <v>205</v>
      </c>
      <c r="E127" s="66">
        <v>50401</v>
      </c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9">
        <f t="shared" si="24"/>
        <v>0</v>
      </c>
      <c r="X127" s="67"/>
      <c r="Y127" s="67"/>
      <c r="Z127" s="67"/>
      <c r="AA127" s="67"/>
      <c r="AB127" s="67"/>
      <c r="AC127" s="67"/>
      <c r="AD127" s="67"/>
      <c r="AE127" s="67"/>
      <c r="AF127" s="65" t="s">
        <v>424</v>
      </c>
      <c r="AH127" s="66" t="s">
        <v>205</v>
      </c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9">
        <f t="shared" si="25"/>
        <v>0</v>
      </c>
      <c r="AU127" s="67"/>
      <c r="AV127" s="69">
        <f t="shared" si="26"/>
        <v>0</v>
      </c>
      <c r="AY127" s="80" t="s">
        <v>410</v>
      </c>
      <c r="AZ127" s="65" t="str">
        <f t="shared" si="27"/>
        <v>Warren County Educ Srv Ctr (CASH)</v>
      </c>
      <c r="BA127" s="65" t="b">
        <f t="shared" si="28"/>
        <v>1</v>
      </c>
      <c r="BB127" s="68" t="str">
        <f>GovBS!A127</f>
        <v>Warren County Educ Srv Ctr (CASH)</v>
      </c>
      <c r="BC127" s="68" t="b">
        <f t="shared" si="29"/>
        <v>1</v>
      </c>
      <c r="BE127" s="68" t="str">
        <f t="shared" si="30"/>
        <v>Warren</v>
      </c>
      <c r="BF127" s="68" t="b">
        <f t="shared" si="31"/>
        <v>1</v>
      </c>
      <c r="BH127" s="68" t="b">
        <f>C127=GovBS!C127</f>
        <v>1</v>
      </c>
    </row>
    <row r="128" spans="1:60" s="66" customFormat="1" hidden="1">
      <c r="A128" s="65" t="s">
        <v>343</v>
      </c>
      <c r="C128" s="66" t="s">
        <v>206</v>
      </c>
      <c r="E128" s="66">
        <v>50476</v>
      </c>
      <c r="G128" s="67"/>
      <c r="H128" s="67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9">
        <f t="shared" si="24"/>
        <v>0</v>
      </c>
      <c r="X128" s="65"/>
      <c r="Y128" s="65"/>
      <c r="Z128" s="65"/>
      <c r="AD128" s="65"/>
      <c r="AE128" s="65"/>
      <c r="AF128" s="65" t="s">
        <v>343</v>
      </c>
      <c r="AH128" s="66" t="s">
        <v>206</v>
      </c>
      <c r="AJ128" s="65"/>
      <c r="AK128" s="65"/>
      <c r="AL128" s="65"/>
      <c r="AM128" s="65"/>
      <c r="AN128" s="65"/>
      <c r="AO128" s="65"/>
      <c r="AP128" s="67"/>
      <c r="AQ128" s="65"/>
      <c r="AR128" s="67"/>
      <c r="AS128" s="65"/>
      <c r="AT128" s="69">
        <f t="shared" si="25"/>
        <v>0</v>
      </c>
      <c r="AU128" s="67"/>
      <c r="AV128" s="69">
        <f t="shared" si="26"/>
        <v>0</v>
      </c>
      <c r="AZ128" s="65" t="str">
        <f t="shared" si="27"/>
        <v>Washington Educ Srv Ctr - merged with Ohio Valley ESC</v>
      </c>
      <c r="BA128" s="65" t="b">
        <f t="shared" si="28"/>
        <v>1</v>
      </c>
      <c r="BB128" s="68" t="str">
        <f>GovBS!A128</f>
        <v>Washington Educ Srv Ctr - merged with Ohio Valley ESC</v>
      </c>
      <c r="BC128" s="68" t="b">
        <f t="shared" si="29"/>
        <v>1</v>
      </c>
      <c r="BE128" s="68" t="str">
        <f t="shared" si="30"/>
        <v>Washington</v>
      </c>
      <c r="BF128" s="68" t="b">
        <f t="shared" si="31"/>
        <v>1</v>
      </c>
      <c r="BH128" s="68" t="b">
        <f>C128=GovBS!C128</f>
        <v>1</v>
      </c>
    </row>
    <row r="129" spans="1:60" s="16" customFormat="1">
      <c r="A129" s="3" t="s">
        <v>203</v>
      </c>
      <c r="C129" s="16" t="s">
        <v>270</v>
      </c>
      <c r="E129" s="16">
        <v>134999</v>
      </c>
      <c r="G129" s="17">
        <v>0</v>
      </c>
      <c r="H129" s="17"/>
      <c r="I129" s="17">
        <v>1928898</v>
      </c>
      <c r="J129" s="17"/>
      <c r="K129" s="17">
        <v>4104</v>
      </c>
      <c r="L129" s="17"/>
      <c r="M129" s="17">
        <v>359925</v>
      </c>
      <c r="N129" s="17"/>
      <c r="O129" s="17">
        <v>0</v>
      </c>
      <c r="P129" s="17"/>
      <c r="Q129" s="17">
        <v>0</v>
      </c>
      <c r="R129" s="17"/>
      <c r="S129" s="17">
        <v>0</v>
      </c>
      <c r="T129" s="17"/>
      <c r="U129" s="17">
        <f>2785213+19137</f>
        <v>2804350</v>
      </c>
      <c r="V129" s="17"/>
      <c r="W129" s="28">
        <f t="shared" si="24"/>
        <v>5097277</v>
      </c>
      <c r="X129" s="17"/>
      <c r="Y129" s="17">
        <v>0</v>
      </c>
      <c r="Z129" s="17"/>
      <c r="AA129" s="17">
        <v>0</v>
      </c>
      <c r="AB129" s="17"/>
      <c r="AC129" s="17">
        <v>0</v>
      </c>
      <c r="AD129" s="17"/>
      <c r="AE129" s="17">
        <v>0</v>
      </c>
      <c r="AF129" s="3" t="s">
        <v>203</v>
      </c>
      <c r="AH129" s="16" t="s">
        <v>270</v>
      </c>
      <c r="AI129" s="17"/>
      <c r="AJ129" s="17">
        <v>0</v>
      </c>
      <c r="AK129" s="17"/>
      <c r="AL129" s="17">
        <v>0</v>
      </c>
      <c r="AM129" s="17"/>
      <c r="AN129" s="17"/>
      <c r="AO129" s="17"/>
      <c r="AP129" s="17">
        <v>0</v>
      </c>
      <c r="AQ129" s="17"/>
      <c r="AR129" s="17">
        <v>0</v>
      </c>
      <c r="AS129" s="17"/>
      <c r="AT129" s="28">
        <f t="shared" si="25"/>
        <v>0</v>
      </c>
      <c r="AU129" s="17"/>
      <c r="AV129" s="28">
        <f t="shared" si="26"/>
        <v>5097277</v>
      </c>
      <c r="AY129" s="3"/>
      <c r="AZ129" s="3" t="str">
        <f t="shared" si="27"/>
        <v>Western Buckeye Educ Srv Ctr</v>
      </c>
      <c r="BA129" s="3" t="b">
        <f t="shared" si="28"/>
        <v>1</v>
      </c>
      <c r="BB129" s="20" t="str">
        <f>GovBS!A129</f>
        <v>Western Buckeye Educ Srv Ctr</v>
      </c>
      <c r="BC129" s="20" t="b">
        <f t="shared" si="29"/>
        <v>1</v>
      </c>
      <c r="BE129" s="20" t="str">
        <f t="shared" si="30"/>
        <v>Paulding</v>
      </c>
      <c r="BF129" s="20" t="b">
        <f t="shared" si="31"/>
        <v>1</v>
      </c>
      <c r="BH129" s="20" t="b">
        <f>C129=GovBS!C129</f>
        <v>1</v>
      </c>
    </row>
    <row r="130" spans="1:60" s="16" customFormat="1">
      <c r="A130" s="3" t="s">
        <v>423</v>
      </c>
      <c r="C130" s="16" t="s">
        <v>209</v>
      </c>
      <c r="E130" s="16">
        <v>50666</v>
      </c>
      <c r="G130" s="17">
        <v>0</v>
      </c>
      <c r="H130" s="17"/>
      <c r="I130" s="17">
        <v>4663004</v>
      </c>
      <c r="J130" s="17"/>
      <c r="K130" s="17">
        <v>58769</v>
      </c>
      <c r="L130" s="17"/>
      <c r="M130" s="17">
        <v>670015</v>
      </c>
      <c r="N130" s="17"/>
      <c r="O130" s="17">
        <v>0</v>
      </c>
      <c r="P130" s="17"/>
      <c r="Q130" s="17">
        <v>0</v>
      </c>
      <c r="R130" s="17"/>
      <c r="S130" s="17">
        <v>77150</v>
      </c>
      <c r="T130" s="17"/>
      <c r="U130" s="17">
        <f>174925+10900581</f>
        <v>11075506</v>
      </c>
      <c r="V130" s="17"/>
      <c r="W130" s="28">
        <f t="shared" si="24"/>
        <v>16544444</v>
      </c>
      <c r="X130" s="17"/>
      <c r="Y130" s="17">
        <v>0</v>
      </c>
      <c r="Z130" s="17"/>
      <c r="AA130" s="17">
        <v>0</v>
      </c>
      <c r="AB130" s="17"/>
      <c r="AC130" s="17">
        <v>0</v>
      </c>
      <c r="AD130" s="17"/>
      <c r="AE130" s="17">
        <v>0</v>
      </c>
      <c r="AF130" s="3" t="s">
        <v>423</v>
      </c>
      <c r="AH130" s="16" t="s">
        <v>209</v>
      </c>
      <c r="AI130" s="17"/>
      <c r="AJ130" s="17">
        <v>0</v>
      </c>
      <c r="AK130" s="17"/>
      <c r="AL130" s="17">
        <v>0</v>
      </c>
      <c r="AM130" s="17"/>
      <c r="AN130" s="17"/>
      <c r="AO130" s="17"/>
      <c r="AP130" s="17">
        <v>0</v>
      </c>
      <c r="AQ130" s="17"/>
      <c r="AR130" s="17">
        <v>0</v>
      </c>
      <c r="AS130" s="17"/>
      <c r="AT130" s="28">
        <f t="shared" si="25"/>
        <v>0</v>
      </c>
      <c r="AU130" s="17"/>
      <c r="AV130" s="28">
        <f t="shared" si="26"/>
        <v>16544444</v>
      </c>
      <c r="AY130" s="3"/>
      <c r="AZ130" s="3" t="str">
        <f t="shared" si="27"/>
        <v>Wood County Educ Srv Ctr</v>
      </c>
      <c r="BA130" s="3" t="b">
        <f t="shared" si="28"/>
        <v>1</v>
      </c>
      <c r="BB130" s="20" t="str">
        <f>GovBS!A130</f>
        <v>Wood County Educ Srv Ctr</v>
      </c>
      <c r="BC130" s="20" t="b">
        <f t="shared" si="29"/>
        <v>1</v>
      </c>
      <c r="BE130" s="20" t="str">
        <f t="shared" si="30"/>
        <v>Wood</v>
      </c>
      <c r="BF130" s="20" t="b">
        <f t="shared" si="31"/>
        <v>1</v>
      </c>
      <c r="BH130" s="20" t="b">
        <f>C130=GovBS!C130</f>
        <v>1</v>
      </c>
    </row>
    <row r="131" spans="1:60" s="16" customFormat="1"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28"/>
      <c r="X131" s="17"/>
      <c r="Y131" s="17"/>
      <c r="Z131" s="17"/>
      <c r="AA131" s="17"/>
      <c r="AB131" s="17"/>
      <c r="AC131" s="17"/>
      <c r="AD131" s="17"/>
      <c r="AE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28"/>
      <c r="AU131" s="17"/>
      <c r="AV131" s="28"/>
    </row>
    <row r="132" spans="1:60" s="16" customFormat="1">
      <c r="AC132" s="39" t="s">
        <v>266</v>
      </c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60">
      <c r="A133" s="103"/>
      <c r="B133" s="103"/>
      <c r="C133" s="103"/>
      <c r="D133" s="103"/>
      <c r="E133" s="103"/>
      <c r="F133" s="103"/>
      <c r="G133" s="103"/>
    </row>
    <row r="134" spans="1:60">
      <c r="G134" s="8"/>
    </row>
    <row r="135" spans="1:60">
      <c r="G135" s="8"/>
    </row>
    <row r="136" spans="1:60">
      <c r="G136" s="8"/>
    </row>
    <row r="137" spans="1:60">
      <c r="G137" s="8"/>
    </row>
    <row r="138" spans="1:60">
      <c r="G138" s="8"/>
    </row>
    <row r="139" spans="1:60">
      <c r="G139" s="8"/>
    </row>
    <row r="140" spans="1:60">
      <c r="G140" s="8"/>
    </row>
    <row r="142" spans="1:60">
      <c r="G142" s="8"/>
    </row>
    <row r="143" spans="1:60">
      <c r="G143" s="8"/>
    </row>
    <row r="144" spans="1:60">
      <c r="G144" s="8"/>
    </row>
    <row r="145" spans="7:7">
      <c r="G145" s="8"/>
    </row>
    <row r="146" spans="7:7">
      <c r="G146" s="8"/>
    </row>
    <row r="147" spans="7:7">
      <c r="G147" s="8"/>
    </row>
    <row r="148" spans="7:7">
      <c r="G148" s="8"/>
    </row>
    <row r="149" spans="7:7">
      <c r="G149" s="8"/>
    </row>
    <row r="150" spans="7:7">
      <c r="G150" s="8"/>
    </row>
    <row r="151" spans="7:7">
      <c r="G151" s="8"/>
    </row>
    <row r="152" spans="7:7">
      <c r="G152" s="8"/>
    </row>
    <row r="153" spans="7:7">
      <c r="G153" s="8"/>
    </row>
    <row r="154" spans="7:7">
      <c r="G154" s="8"/>
    </row>
    <row r="155" spans="7:7">
      <c r="G155" s="8"/>
    </row>
    <row r="156" spans="7:7">
      <c r="G156" s="8"/>
    </row>
    <row r="157" spans="7:7">
      <c r="G157" s="8"/>
    </row>
    <row r="158" spans="7:7">
      <c r="G158" s="8"/>
    </row>
    <row r="159" spans="7:7">
      <c r="G159" s="8"/>
    </row>
    <row r="160" spans="7:7">
      <c r="G160" s="8"/>
    </row>
    <row r="161" spans="7:7">
      <c r="G161" s="8"/>
    </row>
    <row r="162" spans="7:7">
      <c r="G162" s="8"/>
    </row>
    <row r="163" spans="7:7">
      <c r="G163" s="8"/>
    </row>
    <row r="164" spans="7:7">
      <c r="G164" s="8"/>
    </row>
    <row r="165" spans="7:7">
      <c r="G165" s="8"/>
    </row>
    <row r="166" spans="7:7">
      <c r="G166" s="8"/>
    </row>
    <row r="167" spans="7:7">
      <c r="G167" s="8"/>
    </row>
    <row r="168" spans="7:7">
      <c r="G168" s="8"/>
    </row>
    <row r="169" spans="7:7">
      <c r="G169" s="8"/>
    </row>
    <row r="170" spans="7:7">
      <c r="G170" s="8"/>
    </row>
    <row r="171" spans="7:7">
      <c r="G171" s="8"/>
    </row>
    <row r="172" spans="7:7">
      <c r="G172" s="8"/>
    </row>
    <row r="173" spans="7:7">
      <c r="G173" s="8"/>
    </row>
    <row r="174" spans="7:7">
      <c r="G174" s="8"/>
    </row>
    <row r="175" spans="7:7">
      <c r="G175" s="8"/>
    </row>
    <row r="176" spans="7:7">
      <c r="G176" s="8"/>
    </row>
    <row r="177" spans="7:7">
      <c r="G177" s="8"/>
    </row>
    <row r="178" spans="7:7">
      <c r="G178" s="8"/>
    </row>
    <row r="179" spans="7:7">
      <c r="G179" s="8"/>
    </row>
    <row r="181" spans="7:7">
      <c r="G181" s="8"/>
    </row>
    <row r="182" spans="7:7">
      <c r="G182" s="8"/>
    </row>
    <row r="183" spans="7:7">
      <c r="G183" s="8"/>
    </row>
    <row r="184" spans="7:7">
      <c r="G184" s="8"/>
    </row>
    <row r="185" spans="7:7">
      <c r="G185" s="8"/>
    </row>
    <row r="186" spans="7:7">
      <c r="G186" s="8"/>
    </row>
    <row r="187" spans="7:7">
      <c r="G187" s="8"/>
    </row>
    <row r="188" spans="7:7">
      <c r="G188" s="8"/>
    </row>
    <row r="189" spans="7:7">
      <c r="G189" s="8"/>
    </row>
    <row r="190" spans="7:7">
      <c r="G190" s="8"/>
    </row>
    <row r="191" spans="7:7">
      <c r="G191" s="8"/>
    </row>
    <row r="192" spans="7:7">
      <c r="G192" s="8"/>
    </row>
    <row r="194" spans="7:7">
      <c r="G194" s="8"/>
    </row>
    <row r="195" spans="7:7">
      <c r="G195" s="8"/>
    </row>
    <row r="196" spans="7:7">
      <c r="G196" s="8"/>
    </row>
    <row r="197" spans="7:7">
      <c r="G197" s="8"/>
    </row>
    <row r="198" spans="7:7">
      <c r="G198" s="8"/>
    </row>
    <row r="199" spans="7:7">
      <c r="G199" s="8"/>
    </row>
    <row r="200" spans="7:7">
      <c r="G200" s="8"/>
    </row>
    <row r="201" spans="7:7">
      <c r="G201" s="8"/>
    </row>
    <row r="202" spans="7:7">
      <c r="G202" s="8"/>
    </row>
    <row r="203" spans="7:7">
      <c r="G203" s="8"/>
    </row>
  </sheetData>
  <mergeCells count="3">
    <mergeCell ref="A133:G133"/>
    <mergeCell ref="A66:G66"/>
    <mergeCell ref="AJ7:AP7"/>
  </mergeCells>
  <phoneticPr fontId="3" type="noConversion"/>
  <pageMargins left="0.9" right="0.75" top="0.5" bottom="0.5" header="0.25" footer="0.25"/>
  <pageSetup scale="80" firstPageNumber="52" pageOrder="overThenDown" orientation="portrait" useFirstPageNumber="1" r:id="rId1"/>
  <headerFooter scaleWithDoc="0" alignWithMargins="0"/>
  <rowBreaks count="1" manualBreakCount="1">
    <brk id="66" max="4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CP595"/>
  <sheetViews>
    <sheetView view="pageBreakPreview" zoomScaleNormal="80" zoomScaleSheetLayoutView="100" workbookViewId="0">
      <pane xSplit="6" ySplit="11" topLeftCell="L12" activePane="bottomRight" state="frozen"/>
      <selection pane="topRight" activeCell="G1" sqref="G1"/>
      <selection pane="bottomLeft" activeCell="A11" sqref="A11"/>
      <selection pane="bottomRight" activeCell="A3" sqref="A3"/>
    </sheetView>
  </sheetViews>
  <sheetFormatPr defaultRowHeight="12"/>
  <cols>
    <col min="1" max="1" width="40.7109375" style="33" customWidth="1"/>
    <col min="2" max="2" width="1.7109375" style="33" customWidth="1"/>
    <col min="3" max="3" width="11.7109375" style="33" customWidth="1"/>
    <col min="4" max="4" width="1.7109375" style="33" hidden="1" customWidth="1"/>
    <col min="5" max="5" width="11.7109375" style="33" hidden="1" customWidth="1"/>
    <col min="6" max="6" width="1.7109375" style="33" customWidth="1"/>
    <col min="7" max="7" width="11.7109375" style="33" customWidth="1"/>
    <col min="8" max="8" width="1.7109375" style="33" customWidth="1"/>
    <col min="9" max="9" width="11.7109375" style="33" customWidth="1"/>
    <col min="10" max="10" width="1.7109375" style="33" customWidth="1"/>
    <col min="11" max="11" width="11.7109375" style="33" customWidth="1"/>
    <col min="12" max="12" width="1.7109375" style="33" customWidth="1"/>
    <col min="13" max="13" width="13.140625" style="32" customWidth="1"/>
    <col min="14" max="14" width="1.7109375" style="33" customWidth="1"/>
    <col min="15" max="15" width="11.7109375" style="33" customWidth="1"/>
    <col min="16" max="16" width="1.7109375" style="33" customWidth="1"/>
    <col min="17" max="17" width="11.7109375" style="33" customWidth="1"/>
    <col min="18" max="18" width="1.7109375" style="33" customWidth="1"/>
    <col min="19" max="19" width="11.7109375" style="33" customWidth="1"/>
    <col min="20" max="20" width="1.7109375" style="33" customWidth="1"/>
    <col min="21" max="21" width="11.7109375" style="33" customWidth="1"/>
    <col min="22" max="22" width="1.7109375" style="33" customWidth="1"/>
    <col min="23" max="23" width="10.7109375" style="33" customWidth="1"/>
    <col min="24" max="24" width="1.7109375" style="33" customWidth="1"/>
    <col min="25" max="25" width="10.7109375" style="33" customWidth="1"/>
    <col min="26" max="26" width="1.7109375" style="33" customWidth="1"/>
    <col min="27" max="27" width="10.7109375" style="33" customWidth="1"/>
    <col min="28" max="28" width="1.7109375" style="33" customWidth="1"/>
    <col min="29" max="29" width="11.7109375" style="33" customWidth="1"/>
    <col min="30" max="30" width="1.7109375" style="33" customWidth="1"/>
    <col min="31" max="31" width="40.7109375" style="33" customWidth="1"/>
    <col min="32" max="32" width="1.7109375" style="33" customWidth="1"/>
    <col min="33" max="33" width="11.7109375" style="33" customWidth="1"/>
    <col min="34" max="34" width="1.7109375" style="33" customWidth="1"/>
    <col min="35" max="35" width="11.7109375" style="33" customWidth="1"/>
    <col min="36" max="36" width="1.7109375" style="33" customWidth="1"/>
    <col min="37" max="37" width="11.7109375" style="33" customWidth="1"/>
    <col min="38" max="38" width="1.7109375" style="33" hidden="1" customWidth="1"/>
    <col min="39" max="39" width="10.7109375" style="33" hidden="1" customWidth="1"/>
    <col min="40" max="40" width="1.7109375" style="33" customWidth="1"/>
    <col min="41" max="41" width="11.7109375" style="33" customWidth="1"/>
    <col min="42" max="42" width="1.7109375" style="33" customWidth="1"/>
    <col min="43" max="43" width="10.7109375" style="33" customWidth="1"/>
    <col min="44" max="44" width="1.7109375" style="33" customWidth="1"/>
    <col min="45" max="45" width="10.7109375" style="33" customWidth="1"/>
    <col min="46" max="46" width="1.7109375" style="33" customWidth="1"/>
    <col min="47" max="47" width="10.7109375" style="33" customWidth="1"/>
    <col min="48" max="48" width="1.7109375" style="33" customWidth="1"/>
    <col min="49" max="49" width="10.7109375" style="33" customWidth="1"/>
    <col min="50" max="50" width="1.7109375" style="33" customWidth="1"/>
    <col min="51" max="51" width="10.7109375" style="33" customWidth="1"/>
    <col min="52" max="52" width="1.7109375" style="33" customWidth="1"/>
    <col min="53" max="53" width="10.7109375" style="33" customWidth="1"/>
    <col min="54" max="54" width="1.7109375" style="33" hidden="1" customWidth="1"/>
    <col min="55" max="55" width="10.7109375" style="33" hidden="1" customWidth="1"/>
    <col min="56" max="56" width="1.7109375" style="33" customWidth="1"/>
    <col min="57" max="57" width="10.7109375" style="33" customWidth="1"/>
    <col min="58" max="58" width="40.7109375" style="33" customWidth="1"/>
    <col min="59" max="59" width="1.7109375" style="33" customWidth="1"/>
    <col min="60" max="60" width="11.7109375" style="33" customWidth="1"/>
    <col min="61" max="61" width="1.7109375" style="33" customWidth="1"/>
    <col min="62" max="62" width="11.7109375" style="33" customWidth="1"/>
    <col min="63" max="63" width="1.7109375" style="33" hidden="1" customWidth="1"/>
    <col min="64" max="64" width="11.7109375" style="33" hidden="1" customWidth="1"/>
    <col min="65" max="65" width="1.7109375" style="33" hidden="1" customWidth="1"/>
    <col min="66" max="66" width="11.7109375" style="33" hidden="1" customWidth="1"/>
    <col min="67" max="67" width="1.7109375" style="33" customWidth="1"/>
    <col min="68" max="68" width="11.7109375" style="33" customWidth="1"/>
    <col min="69" max="69" width="1.7109375" style="33" customWidth="1"/>
    <col min="70" max="70" width="11.7109375" style="33" customWidth="1"/>
    <col min="71" max="71" width="1.7109375" style="33" customWidth="1"/>
    <col min="72" max="72" width="11.7109375" style="33" customWidth="1"/>
    <col min="73" max="73" width="1.7109375" style="33" customWidth="1"/>
    <col min="74" max="74" width="11.7109375" style="33" customWidth="1"/>
    <col min="75" max="75" width="1.7109375" style="33" customWidth="1"/>
    <col min="76" max="76" width="11.7109375" style="33" customWidth="1"/>
    <col min="77" max="77" width="1.7109375" style="33" customWidth="1"/>
    <col min="78" max="78" width="11.7109375" style="33" customWidth="1"/>
    <col min="79" max="79" width="1.7109375" style="33" customWidth="1"/>
    <col min="80" max="80" width="11.7109375" style="33" customWidth="1"/>
    <col min="81" max="82" width="1.7109375" style="33" customWidth="1"/>
    <col min="83" max="83" width="24.5703125" style="33" customWidth="1"/>
    <col min="84" max="84" width="13.7109375" style="33" customWidth="1"/>
    <col min="85" max="85" width="13.28515625" style="33" customWidth="1"/>
    <col min="86" max="86" width="12.5703125" style="33" customWidth="1"/>
    <col min="87" max="87" width="23.5703125" style="33" customWidth="1"/>
    <col min="88" max="88" width="9.140625" style="33" customWidth="1"/>
    <col min="89" max="89" width="2.5703125" style="33" customWidth="1"/>
    <col min="90" max="92" width="9.140625" style="33"/>
    <col min="93" max="93" width="3.5703125" style="33" customWidth="1"/>
    <col min="94" max="94" width="9.140625" style="16"/>
    <col min="95" max="16384" width="9.140625" style="33"/>
  </cols>
  <sheetData>
    <row r="1" spans="1:94" s="7" customFormat="1">
      <c r="A1" s="37" t="s">
        <v>268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1"/>
      <c r="M1" s="41"/>
      <c r="N1" s="41"/>
      <c r="O1" s="41"/>
      <c r="P1" s="4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7" t="s">
        <v>268</v>
      </c>
      <c r="AF1" s="37"/>
      <c r="AG1" s="37"/>
      <c r="AH1" s="37"/>
      <c r="AI1" s="1"/>
      <c r="AJ1" s="1"/>
      <c r="AK1" s="1"/>
      <c r="AL1" s="1"/>
      <c r="AM1" s="1"/>
      <c r="AN1" s="37"/>
      <c r="AO1" s="1"/>
      <c r="AP1" s="1"/>
      <c r="AQ1" s="1"/>
      <c r="AR1" s="1"/>
      <c r="AS1" s="1"/>
      <c r="AT1" s="1"/>
      <c r="AU1" s="1"/>
      <c r="AV1" s="1"/>
      <c r="AW1" s="1"/>
      <c r="AX1" s="1"/>
      <c r="AY1" s="42"/>
      <c r="BF1" s="37" t="s">
        <v>268</v>
      </c>
      <c r="BG1" s="37"/>
      <c r="BH1" s="37"/>
    </row>
    <row r="2" spans="1:94" s="7" customFormat="1">
      <c r="A2" s="37" t="s">
        <v>298</v>
      </c>
      <c r="B2" s="37"/>
      <c r="C2" s="37"/>
      <c r="D2" s="37"/>
      <c r="E2" s="37"/>
      <c r="F2" s="37"/>
      <c r="G2" s="37"/>
      <c r="H2" s="37"/>
      <c r="I2" s="41"/>
      <c r="J2" s="41"/>
      <c r="K2" s="1"/>
      <c r="L2" s="1"/>
      <c r="M2" s="4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7" t="s">
        <v>298</v>
      </c>
      <c r="AF2" s="37"/>
      <c r="AG2" s="37"/>
      <c r="AH2" s="37"/>
      <c r="AI2" s="1"/>
      <c r="AJ2" s="1"/>
      <c r="AK2" s="1"/>
      <c r="AL2" s="1"/>
      <c r="AM2" s="1"/>
      <c r="AN2" s="37"/>
      <c r="AO2" s="1"/>
      <c r="AP2" s="1"/>
      <c r="AQ2" s="1"/>
      <c r="AR2" s="1"/>
      <c r="AS2" s="1"/>
      <c r="AT2" s="1"/>
      <c r="AU2" s="1"/>
      <c r="AV2" s="1"/>
      <c r="AW2" s="1"/>
      <c r="AX2" s="1"/>
      <c r="AY2" s="42"/>
      <c r="BF2" s="37" t="s">
        <v>298</v>
      </c>
      <c r="BG2" s="37"/>
      <c r="BH2" s="37"/>
    </row>
    <row r="3" spans="1:94" s="3" customFormat="1">
      <c r="A3" s="7" t="s">
        <v>266</v>
      </c>
      <c r="B3" s="41"/>
      <c r="C3" s="41"/>
      <c r="D3" s="41"/>
      <c r="E3" s="41"/>
      <c r="F3" s="41"/>
      <c r="G3" s="41"/>
      <c r="H3" s="41"/>
      <c r="I3" s="41"/>
      <c r="J3" s="41"/>
      <c r="K3" s="1"/>
      <c r="L3" s="1"/>
      <c r="M3" s="4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" t="s">
        <v>266</v>
      </c>
      <c r="AF3" s="41"/>
      <c r="AG3" s="41"/>
      <c r="AH3" s="41"/>
      <c r="AI3" s="1"/>
      <c r="AJ3" s="1"/>
      <c r="AK3" s="1"/>
      <c r="AL3" s="1"/>
      <c r="AM3" s="1"/>
      <c r="AN3" s="4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F3" s="7" t="s">
        <v>266</v>
      </c>
      <c r="BG3" s="41"/>
      <c r="BH3" s="41"/>
    </row>
    <row r="4" spans="1:94" s="3" customFormat="1" ht="12.75" customHeight="1">
      <c r="A4" s="7" t="s">
        <v>269</v>
      </c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7" t="s">
        <v>269</v>
      </c>
      <c r="AF4" s="4"/>
      <c r="AG4" s="4"/>
      <c r="AH4" s="4"/>
      <c r="AI4" s="1"/>
      <c r="AJ4" s="1"/>
      <c r="AK4" s="1"/>
      <c r="AL4" s="1"/>
      <c r="AM4" s="1"/>
      <c r="AN4" s="4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BF4" s="7" t="s">
        <v>269</v>
      </c>
      <c r="BG4" s="4"/>
      <c r="BH4" s="4"/>
    </row>
    <row r="5" spans="1:94" s="3" customFormat="1" ht="12.75" customHeight="1">
      <c r="A5" s="7"/>
      <c r="B5" s="4"/>
      <c r="C5" s="4"/>
      <c r="D5" s="4"/>
      <c r="E5" s="4"/>
      <c r="F5" s="4"/>
      <c r="G5" s="1"/>
      <c r="H5" s="1"/>
      <c r="I5" s="1"/>
      <c r="J5" s="1"/>
      <c r="K5" s="1"/>
      <c r="L5" s="1"/>
      <c r="M5" s="6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F5" s="4"/>
      <c r="AG5" s="4"/>
      <c r="AH5" s="4"/>
      <c r="AI5" s="1"/>
      <c r="AJ5" s="1"/>
      <c r="AK5" s="1"/>
      <c r="AL5" s="1"/>
      <c r="AM5" s="1"/>
      <c r="AN5" s="4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BG5" s="4"/>
      <c r="BH5" s="4"/>
    </row>
    <row r="6" spans="1:94" s="3" customFormat="1" ht="12.75" customHeight="1">
      <c r="A6" s="35" t="s">
        <v>380</v>
      </c>
      <c r="B6" s="4"/>
      <c r="C6" s="4"/>
      <c r="D6" s="4"/>
      <c r="E6" s="4"/>
      <c r="F6" s="4"/>
      <c r="G6" s="1"/>
      <c r="H6" s="1"/>
      <c r="I6" s="1"/>
      <c r="J6" s="1"/>
      <c r="K6" s="1"/>
      <c r="L6" s="1"/>
      <c r="N6" s="1"/>
      <c r="O6" s="11" t="s">
        <v>57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5" t="s">
        <v>380</v>
      </c>
      <c r="AF6" s="4"/>
      <c r="AG6" s="4"/>
      <c r="AH6" s="4"/>
      <c r="AI6" s="1"/>
      <c r="AJ6" s="1"/>
      <c r="AK6" s="1"/>
      <c r="AL6" s="1"/>
      <c r="AM6" s="1"/>
      <c r="AN6" s="4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BF6" s="35" t="s">
        <v>380</v>
      </c>
      <c r="BG6" s="4"/>
      <c r="BH6" s="4"/>
    </row>
    <row r="7" spans="1:94" s="3" customFormat="1">
      <c r="A7" s="77"/>
      <c r="B7" s="7"/>
      <c r="C7" s="7"/>
      <c r="D7" s="7"/>
      <c r="E7" s="7"/>
      <c r="F7" s="7"/>
      <c r="G7" s="101" t="s">
        <v>57</v>
      </c>
      <c r="H7" s="101"/>
      <c r="I7" s="101"/>
      <c r="J7" s="101"/>
      <c r="K7" s="101"/>
      <c r="L7" s="101"/>
      <c r="M7" s="101"/>
      <c r="N7" s="48"/>
      <c r="O7" s="43" t="s">
        <v>428</v>
      </c>
      <c r="Q7" s="101" t="s">
        <v>58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77"/>
      <c r="AF7" s="7"/>
      <c r="AG7" s="7"/>
      <c r="AH7" s="7"/>
      <c r="AI7" s="101" t="s">
        <v>429</v>
      </c>
      <c r="AJ7" s="101"/>
      <c r="AK7" s="101"/>
      <c r="AL7" s="44"/>
      <c r="AM7" s="44"/>
      <c r="AN7" s="7"/>
      <c r="AO7" s="101" t="s">
        <v>296</v>
      </c>
      <c r="AP7" s="101"/>
      <c r="AQ7" s="101"/>
      <c r="AY7" s="43" t="s">
        <v>113</v>
      </c>
      <c r="AZ7" s="43"/>
      <c r="BA7" s="43"/>
      <c r="BF7" s="77"/>
      <c r="BG7" s="7"/>
      <c r="BH7" s="7"/>
      <c r="BJ7" s="43" t="s">
        <v>114</v>
      </c>
      <c r="BK7" s="43"/>
      <c r="BL7" s="43"/>
      <c r="BM7" s="43"/>
      <c r="BN7" s="43"/>
      <c r="BO7" s="43"/>
      <c r="BP7" s="43"/>
      <c r="BR7" s="11" t="s">
        <v>8</v>
      </c>
      <c r="BS7" s="11"/>
      <c r="BT7" s="11" t="s">
        <v>115</v>
      </c>
      <c r="BU7" s="11"/>
      <c r="BV7" s="11" t="s">
        <v>94</v>
      </c>
      <c r="BW7" s="11"/>
      <c r="BX7" s="11" t="s">
        <v>246</v>
      </c>
      <c r="BY7" s="11"/>
      <c r="BZ7" s="11" t="s">
        <v>94</v>
      </c>
      <c r="CA7" s="11"/>
      <c r="CB7" s="11" t="s">
        <v>4</v>
      </c>
    </row>
    <row r="8" spans="1:94" s="11" customFormat="1">
      <c r="A8" s="35"/>
      <c r="M8" s="2"/>
      <c r="AC8" s="11" t="s">
        <v>59</v>
      </c>
      <c r="AE8" s="35"/>
      <c r="BF8" s="35"/>
      <c r="BN8" s="11" t="s">
        <v>234</v>
      </c>
      <c r="BP8" s="11" t="s">
        <v>116</v>
      </c>
      <c r="BR8" s="11" t="s">
        <v>117</v>
      </c>
      <c r="BT8" s="11" t="s">
        <v>118</v>
      </c>
      <c r="BV8" s="11" t="s">
        <v>119</v>
      </c>
      <c r="BX8" s="11" t="s">
        <v>245</v>
      </c>
      <c r="BZ8" s="11" t="s">
        <v>119</v>
      </c>
      <c r="CB8" s="11" t="s">
        <v>11</v>
      </c>
    </row>
    <row r="9" spans="1:94" s="11" customFormat="1">
      <c r="A9" s="3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N9" s="2"/>
      <c r="O9" s="2"/>
      <c r="P9" s="2"/>
      <c r="Q9" s="2"/>
      <c r="R9" s="2"/>
      <c r="S9" s="2" t="s">
        <v>62</v>
      </c>
      <c r="T9" s="2"/>
      <c r="U9" s="2" t="s">
        <v>63</v>
      </c>
      <c r="V9" s="2"/>
      <c r="W9" s="2"/>
      <c r="X9" s="2"/>
      <c r="Y9" s="2"/>
      <c r="Z9" s="2"/>
      <c r="AA9" s="2"/>
      <c r="AB9" s="2"/>
      <c r="AC9" s="2" t="s">
        <v>64</v>
      </c>
      <c r="AD9" s="2"/>
      <c r="AE9" s="35"/>
      <c r="AF9" s="2"/>
      <c r="AG9" s="2"/>
      <c r="AH9" s="2"/>
      <c r="AI9" s="2" t="s">
        <v>65</v>
      </c>
      <c r="AJ9" s="2"/>
      <c r="AK9" s="2"/>
      <c r="AL9" s="2"/>
      <c r="AM9" s="2"/>
      <c r="AN9" s="2"/>
      <c r="AO9" s="11" t="s">
        <v>66</v>
      </c>
      <c r="AS9" s="11" t="s">
        <v>67</v>
      </c>
      <c r="AU9" s="11" t="s">
        <v>6</v>
      </c>
      <c r="AW9" s="11" t="s">
        <v>101</v>
      </c>
      <c r="AY9" s="11" t="s">
        <v>120</v>
      </c>
      <c r="BE9" s="11" t="s">
        <v>8</v>
      </c>
      <c r="BF9" s="35"/>
      <c r="BG9" s="2"/>
      <c r="BH9" s="2"/>
      <c r="BJ9" s="11" t="s">
        <v>68</v>
      </c>
      <c r="BL9" s="11" t="s">
        <v>121</v>
      </c>
      <c r="BN9" s="11" t="s">
        <v>235</v>
      </c>
      <c r="BP9" s="11" t="s">
        <v>85</v>
      </c>
      <c r="BR9" s="11" t="s">
        <v>41</v>
      </c>
      <c r="BT9" s="11" t="s">
        <v>94</v>
      </c>
      <c r="BV9" s="2" t="s">
        <v>71</v>
      </c>
      <c r="BX9" s="11" t="s">
        <v>233</v>
      </c>
      <c r="BZ9" s="2" t="s">
        <v>122</v>
      </c>
      <c r="CB9" s="11" t="s">
        <v>123</v>
      </c>
    </row>
    <row r="10" spans="1:94" s="11" customFormat="1">
      <c r="A10" s="31" t="s">
        <v>295</v>
      </c>
      <c r="C10" s="31" t="s">
        <v>12</v>
      </c>
      <c r="E10" s="31" t="s">
        <v>13</v>
      </c>
      <c r="F10" s="2"/>
      <c r="G10" s="10" t="s">
        <v>432</v>
      </c>
      <c r="I10" s="10" t="s">
        <v>74</v>
      </c>
      <c r="K10" s="10" t="s">
        <v>75</v>
      </c>
      <c r="L10" s="2"/>
      <c r="M10" s="10" t="s">
        <v>379</v>
      </c>
      <c r="O10" s="10" t="s">
        <v>85</v>
      </c>
      <c r="Q10" s="10" t="s">
        <v>431</v>
      </c>
      <c r="S10" s="10" t="s">
        <v>76</v>
      </c>
      <c r="U10" s="10" t="s">
        <v>77</v>
      </c>
      <c r="W10" s="10" t="s">
        <v>78</v>
      </c>
      <c r="Y10" s="10" t="s">
        <v>79</v>
      </c>
      <c r="Z10" s="2"/>
      <c r="AA10" s="31" t="s">
        <v>80</v>
      </c>
      <c r="AC10" s="10" t="s">
        <v>81</v>
      </c>
      <c r="AD10" s="2"/>
      <c r="AE10" s="31" t="s">
        <v>295</v>
      </c>
      <c r="AG10" s="31" t="s">
        <v>12</v>
      </c>
      <c r="AI10" s="31" t="s">
        <v>82</v>
      </c>
      <c r="AJ10" s="2"/>
      <c r="AK10" s="31" t="s">
        <v>83</v>
      </c>
      <c r="AM10" s="31" t="s">
        <v>85</v>
      </c>
      <c r="AO10" s="31" t="s">
        <v>84</v>
      </c>
      <c r="AQ10" s="62" t="s">
        <v>85</v>
      </c>
      <c r="AR10" s="2"/>
      <c r="AS10" s="31" t="s">
        <v>51</v>
      </c>
      <c r="AT10" s="2"/>
      <c r="AU10" s="31" t="s">
        <v>124</v>
      </c>
      <c r="AV10" s="2"/>
      <c r="AW10" s="31" t="s">
        <v>106</v>
      </c>
      <c r="AX10" s="2"/>
      <c r="AY10" s="62" t="s">
        <v>433</v>
      </c>
      <c r="AZ10" s="2"/>
      <c r="BA10" s="31" t="s">
        <v>86</v>
      </c>
      <c r="BB10" s="2"/>
      <c r="BC10" s="31" t="s">
        <v>129</v>
      </c>
      <c r="BD10" s="2"/>
      <c r="BE10" s="31" t="s">
        <v>117</v>
      </c>
      <c r="BF10" s="31" t="s">
        <v>295</v>
      </c>
      <c r="BH10" s="31" t="s">
        <v>12</v>
      </c>
      <c r="BI10" s="2"/>
      <c r="BJ10" s="31" t="s">
        <v>87</v>
      </c>
      <c r="BK10" s="2"/>
      <c r="BL10" s="31" t="s">
        <v>87</v>
      </c>
      <c r="BM10" s="2"/>
      <c r="BN10" s="31" t="s">
        <v>242</v>
      </c>
      <c r="BO10" s="2"/>
      <c r="BP10" s="31" t="s">
        <v>125</v>
      </c>
      <c r="BQ10" s="2"/>
      <c r="BR10" s="31" t="s">
        <v>126</v>
      </c>
      <c r="BS10" s="2"/>
      <c r="BT10" s="31" t="s">
        <v>119</v>
      </c>
      <c r="BV10" s="31" t="s">
        <v>90</v>
      </c>
      <c r="BX10" s="31" t="s">
        <v>232</v>
      </c>
      <c r="BZ10" s="31" t="s">
        <v>90</v>
      </c>
      <c r="CB10" s="31" t="s">
        <v>20</v>
      </c>
    </row>
    <row r="11" spans="1:94" s="11" customFormat="1">
      <c r="A11" s="2"/>
      <c r="C11" s="2"/>
      <c r="E11" s="2"/>
      <c r="F11" s="2"/>
      <c r="G11" s="2"/>
      <c r="I11" s="2"/>
      <c r="K11" s="2"/>
      <c r="L11" s="2"/>
      <c r="M11" s="78"/>
      <c r="O11" s="2"/>
      <c r="Q11" s="2"/>
      <c r="S11" s="2"/>
      <c r="U11" s="2"/>
      <c r="W11" s="2"/>
      <c r="Y11" s="2"/>
      <c r="Z11" s="2"/>
      <c r="AA11" s="2"/>
      <c r="AC11" s="2"/>
      <c r="AD11" s="2"/>
      <c r="AE11" s="2"/>
      <c r="AG11" s="2"/>
      <c r="AI11" s="2"/>
      <c r="AJ11" s="2"/>
      <c r="AK11" s="2"/>
      <c r="AM11" s="2"/>
      <c r="AO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V11" s="2"/>
      <c r="BX11" s="2"/>
      <c r="BZ11" s="2"/>
      <c r="CB11" s="2"/>
      <c r="CF11" s="11" t="s">
        <v>360</v>
      </c>
      <c r="CG11" s="11" t="s">
        <v>358</v>
      </c>
      <c r="CH11" s="11" t="s">
        <v>361</v>
      </c>
      <c r="CI11" s="11" t="s">
        <v>362</v>
      </c>
      <c r="CL11" s="11" t="s">
        <v>365</v>
      </c>
      <c r="CM11" s="11" t="s">
        <v>368</v>
      </c>
      <c r="CN11" s="11" t="s">
        <v>373</v>
      </c>
      <c r="CP11" s="11" t="s">
        <v>374</v>
      </c>
    </row>
    <row r="12" spans="1:94">
      <c r="A12" s="38" t="s">
        <v>264</v>
      </c>
      <c r="AE12" s="38" t="s">
        <v>264</v>
      </c>
      <c r="BF12" s="38" t="s">
        <v>264</v>
      </c>
    </row>
    <row r="13" spans="1:94">
      <c r="A13" s="38"/>
      <c r="AE13" s="38"/>
      <c r="BF13" s="38"/>
    </row>
    <row r="14" spans="1:94">
      <c r="A14" s="3" t="s">
        <v>306</v>
      </c>
      <c r="B14" s="3"/>
      <c r="C14" s="3" t="s">
        <v>272</v>
      </c>
      <c r="G14" s="20">
        <v>375168</v>
      </c>
      <c r="H14" s="20"/>
      <c r="I14" s="20">
        <v>161531</v>
      </c>
      <c r="J14" s="20"/>
      <c r="K14" s="20">
        <v>6064694</v>
      </c>
      <c r="L14" s="20"/>
      <c r="M14" s="78">
        <v>46015</v>
      </c>
      <c r="N14" s="20"/>
      <c r="O14" s="20">
        <v>0</v>
      </c>
      <c r="P14" s="20"/>
      <c r="Q14" s="20">
        <v>699423</v>
      </c>
      <c r="R14" s="20"/>
      <c r="S14" s="20">
        <v>691608</v>
      </c>
      <c r="T14" s="20"/>
      <c r="U14" s="20">
        <v>47468</v>
      </c>
      <c r="V14" s="20"/>
      <c r="W14" s="20">
        <v>855654</v>
      </c>
      <c r="X14" s="20"/>
      <c r="Y14" s="20">
        <v>496112</v>
      </c>
      <c r="Z14" s="20"/>
      <c r="AA14" s="20">
        <v>0</v>
      </c>
      <c r="AB14" s="20"/>
      <c r="AC14" s="20">
        <v>1162060</v>
      </c>
      <c r="AD14" s="20"/>
      <c r="AE14" s="3" t="s">
        <v>306</v>
      </c>
      <c r="AF14" s="3"/>
      <c r="AG14" s="3" t="s">
        <v>272</v>
      </c>
      <c r="AI14" s="20">
        <v>11228</v>
      </c>
      <c r="AJ14" s="20"/>
      <c r="AK14" s="20">
        <v>414423</v>
      </c>
      <c r="AL14" s="20"/>
      <c r="AM14" s="20">
        <v>0</v>
      </c>
      <c r="AN14" s="92"/>
      <c r="AO14" s="20">
        <v>0</v>
      </c>
      <c r="AP14" s="20"/>
      <c r="AQ14" s="20">
        <v>344072</v>
      </c>
      <c r="AR14" s="20"/>
      <c r="AS14" s="20">
        <v>30581</v>
      </c>
      <c r="AT14" s="20"/>
      <c r="AU14" s="20">
        <v>366598</v>
      </c>
      <c r="AV14" s="20"/>
      <c r="AW14" s="20">
        <v>0</v>
      </c>
      <c r="AX14" s="20"/>
      <c r="AY14" s="20">
        <v>26667</v>
      </c>
      <c r="AZ14" s="20"/>
      <c r="BA14" s="20">
        <v>0</v>
      </c>
      <c r="BB14" s="20"/>
      <c r="BC14" s="20">
        <v>0</v>
      </c>
      <c r="BD14" s="20"/>
      <c r="BE14" s="21">
        <f>SUM(G14:BC14)</f>
        <v>11793302</v>
      </c>
      <c r="BF14" s="3" t="s">
        <v>306</v>
      </c>
      <c r="BG14" s="3"/>
      <c r="BH14" s="3" t="s">
        <v>272</v>
      </c>
      <c r="BI14" s="20"/>
      <c r="BJ14" s="20">
        <v>0</v>
      </c>
      <c r="BK14" s="20"/>
      <c r="BL14" s="20">
        <v>0</v>
      </c>
      <c r="BM14" s="20"/>
      <c r="BN14" s="20">
        <v>0</v>
      </c>
      <c r="BO14" s="20"/>
      <c r="BP14" s="20">
        <v>0</v>
      </c>
      <c r="BQ14" s="20"/>
      <c r="BR14" s="21">
        <f t="shared" ref="BR14:BR45" si="0">+BE14+BJ14+BL14+BP14+BN14</f>
        <v>11793302</v>
      </c>
      <c r="BS14" s="20"/>
      <c r="BT14" s="21">
        <f>GovRev!AV14-BR14</f>
        <v>593903</v>
      </c>
      <c r="BU14" s="20"/>
      <c r="BV14" s="20">
        <v>5007776</v>
      </c>
      <c r="BW14" s="20"/>
      <c r="BX14" s="20">
        <v>0</v>
      </c>
      <c r="BY14" s="20"/>
      <c r="BZ14" s="21">
        <f>+BV14+BT14+BX14</f>
        <v>5601679</v>
      </c>
      <c r="CA14" s="17"/>
      <c r="CB14" s="17">
        <f>-BZ14+GovBS!AE14</f>
        <v>0</v>
      </c>
      <c r="CC14" s="20"/>
      <c r="CD14" s="20"/>
      <c r="CE14" s="16" t="s">
        <v>303</v>
      </c>
      <c r="CF14" s="3" t="str">
        <f>A14</f>
        <v>Apollo Career Center</v>
      </c>
      <c r="CG14" s="3" t="b">
        <f>A14=AE14</f>
        <v>1</v>
      </c>
      <c r="CH14" s="3" t="b">
        <f>A14=BF14</f>
        <v>1</v>
      </c>
      <c r="CI14" s="20" t="str">
        <f>GovRev!A14</f>
        <v>Apollo Career Center</v>
      </c>
      <c r="CJ14" s="20" t="b">
        <f t="shared" ref="CJ14:CJ45" si="1">CF14=CI14</f>
        <v>1</v>
      </c>
      <c r="CK14" s="20"/>
      <c r="CL14" s="20" t="str">
        <f>C14</f>
        <v>Allen</v>
      </c>
      <c r="CM14" s="20" t="b">
        <f>C14=AG14</f>
        <v>1</v>
      </c>
      <c r="CN14" s="20" t="b">
        <f>C14=BH14</f>
        <v>1</v>
      </c>
      <c r="CO14" s="20"/>
      <c r="CP14" s="16" t="b">
        <f>C14=GovRev!C14</f>
        <v>1</v>
      </c>
    </row>
    <row r="15" spans="1:94" s="20" customFormat="1">
      <c r="A15" s="3" t="s">
        <v>249</v>
      </c>
      <c r="C15" s="20" t="s">
        <v>146</v>
      </c>
      <c r="E15" s="26">
        <v>62042</v>
      </c>
      <c r="G15" s="3">
        <v>606837</v>
      </c>
      <c r="H15" s="3"/>
      <c r="I15" s="3">
        <v>310627</v>
      </c>
      <c r="J15" s="3"/>
      <c r="K15" s="3">
        <v>2656479</v>
      </c>
      <c r="L15" s="3"/>
      <c r="M15" s="32">
        <v>1277089</v>
      </c>
      <c r="N15" s="3"/>
      <c r="O15" s="3">
        <f>2389+1411</f>
        <v>3800</v>
      </c>
      <c r="P15" s="3"/>
      <c r="Q15" s="3">
        <v>146000</v>
      </c>
      <c r="R15" s="3"/>
      <c r="S15" s="3">
        <v>184019</v>
      </c>
      <c r="T15" s="3"/>
      <c r="U15" s="3">
        <v>48304</v>
      </c>
      <c r="V15" s="3"/>
      <c r="W15" s="3">
        <v>727111</v>
      </c>
      <c r="X15" s="3"/>
      <c r="Y15" s="3">
        <v>391039</v>
      </c>
      <c r="Z15" s="3"/>
      <c r="AA15" s="3">
        <v>3706</v>
      </c>
      <c r="AB15" s="3"/>
      <c r="AC15" s="3">
        <v>943079</v>
      </c>
      <c r="AE15" s="3" t="s">
        <v>249</v>
      </c>
      <c r="AF15" s="3"/>
      <c r="AG15" s="3" t="s">
        <v>146</v>
      </c>
      <c r="AH15" s="33"/>
      <c r="AI15" s="3">
        <v>3153</v>
      </c>
      <c r="AJ15" s="3"/>
      <c r="AK15" s="3">
        <v>231991</v>
      </c>
      <c r="AL15" s="3"/>
      <c r="AM15" s="3">
        <v>0</v>
      </c>
      <c r="AN15" s="36"/>
      <c r="AO15" s="3">
        <v>120749</v>
      </c>
      <c r="AP15" s="3"/>
      <c r="AQ15" s="3">
        <v>163086</v>
      </c>
      <c r="AR15" s="3"/>
      <c r="AS15" s="3">
        <v>25931</v>
      </c>
      <c r="AT15" s="3"/>
      <c r="AU15" s="3">
        <v>137163</v>
      </c>
      <c r="AV15" s="3"/>
      <c r="AW15" s="3">
        <v>394</v>
      </c>
      <c r="AX15" s="3"/>
      <c r="AY15" s="3">
        <v>117036</v>
      </c>
      <c r="AZ15" s="3"/>
      <c r="BA15" s="3">
        <v>42781</v>
      </c>
      <c r="BB15" s="3"/>
      <c r="BC15" s="3">
        <v>0</v>
      </c>
      <c r="BD15" s="3"/>
      <c r="BE15" s="17">
        <f>SUM(G15:BC15)</f>
        <v>8140374</v>
      </c>
      <c r="BF15" s="3" t="s">
        <v>249</v>
      </c>
      <c r="BG15" s="3"/>
      <c r="BH15" s="3" t="s">
        <v>146</v>
      </c>
      <c r="BJ15" s="3">
        <v>20000</v>
      </c>
      <c r="BK15" s="3"/>
      <c r="BL15" s="3">
        <v>0</v>
      </c>
      <c r="BM15" s="3"/>
      <c r="BN15" s="3">
        <v>0</v>
      </c>
      <c r="BO15" s="3"/>
      <c r="BP15" s="3">
        <v>0</v>
      </c>
      <c r="BQ15" s="3"/>
      <c r="BR15" s="17">
        <f t="shared" si="0"/>
        <v>8160374</v>
      </c>
      <c r="BS15" s="3"/>
      <c r="BT15" s="17">
        <f>GovRev!AV15-BR15</f>
        <v>392934</v>
      </c>
      <c r="BU15" s="3"/>
      <c r="BV15" s="3">
        <v>5225783</v>
      </c>
      <c r="BW15" s="3"/>
      <c r="BX15" s="3">
        <v>0</v>
      </c>
      <c r="BY15" s="3"/>
      <c r="BZ15" s="17">
        <f>+BV15+BT15+BX15</f>
        <v>5618717</v>
      </c>
      <c r="CA15" s="17"/>
      <c r="CB15" s="17">
        <f>-BZ15+GovBS!AE15</f>
        <v>0</v>
      </c>
      <c r="CC15" s="16"/>
      <c r="CD15" s="16"/>
      <c r="CE15" s="3"/>
      <c r="CF15" s="3" t="str">
        <f t="shared" ref="CF15:CF79" si="2">A15</f>
        <v>Ashland County-West Holmes JVSD</v>
      </c>
      <c r="CG15" s="3" t="b">
        <f t="shared" ref="CG15:CG78" si="3">A15=AE15</f>
        <v>1</v>
      </c>
      <c r="CH15" s="3" t="b">
        <f t="shared" ref="CH15:CH78" si="4">A15=BF15</f>
        <v>1</v>
      </c>
      <c r="CI15" s="20" t="str">
        <f>GovRev!A15</f>
        <v>Ashland County-West Holmes JVSD</v>
      </c>
      <c r="CJ15" s="20" t="b">
        <f t="shared" si="1"/>
        <v>1</v>
      </c>
      <c r="CK15" s="16"/>
      <c r="CL15" s="20" t="str">
        <f t="shared" ref="CL15:CL78" si="5">C15</f>
        <v>Ashland</v>
      </c>
      <c r="CM15" s="20" t="b">
        <f t="shared" ref="CM15:CM78" si="6">C15=AG15</f>
        <v>1</v>
      </c>
      <c r="CN15" s="20" t="b">
        <f t="shared" ref="CN15:CN78" si="7">C15=BH15</f>
        <v>1</v>
      </c>
      <c r="CP15" s="16" t="b">
        <f>C15=GovRev!C15</f>
        <v>1</v>
      </c>
    </row>
    <row r="16" spans="1:94" s="16" customFormat="1">
      <c r="A16" s="3" t="s">
        <v>210</v>
      </c>
      <c r="C16" s="16" t="s">
        <v>147</v>
      </c>
      <c r="E16" s="16">
        <v>50815</v>
      </c>
      <c r="G16" s="3">
        <v>893526</v>
      </c>
      <c r="H16" s="3"/>
      <c r="I16" s="3">
        <v>389118</v>
      </c>
      <c r="J16" s="3"/>
      <c r="K16" s="3">
        <v>7457445</v>
      </c>
      <c r="L16" s="3"/>
      <c r="M16" s="32">
        <v>324124</v>
      </c>
      <c r="N16" s="3"/>
      <c r="O16" s="3">
        <v>306899</v>
      </c>
      <c r="P16" s="3"/>
      <c r="Q16" s="3">
        <v>567218</v>
      </c>
      <c r="R16" s="3"/>
      <c r="S16" s="3">
        <v>1528729</v>
      </c>
      <c r="T16" s="3"/>
      <c r="U16" s="3">
        <v>40396</v>
      </c>
      <c r="V16" s="3"/>
      <c r="W16" s="3">
        <v>1020435</v>
      </c>
      <c r="X16" s="3"/>
      <c r="Y16" s="3">
        <v>410293</v>
      </c>
      <c r="Z16" s="3"/>
      <c r="AA16" s="3">
        <v>76283</v>
      </c>
      <c r="AB16" s="3"/>
      <c r="AC16" s="3">
        <v>1097557</v>
      </c>
      <c r="AD16" s="3"/>
      <c r="AE16" s="3" t="s">
        <v>210</v>
      </c>
      <c r="AG16" s="16" t="s">
        <v>147</v>
      </c>
      <c r="AI16" s="3">
        <v>14067</v>
      </c>
      <c r="AJ16" s="3"/>
      <c r="AK16" s="3">
        <v>33046</v>
      </c>
      <c r="AL16" s="3"/>
      <c r="AM16" s="3">
        <v>0</v>
      </c>
      <c r="AN16" s="3"/>
      <c r="AO16" s="3">
        <v>277294</v>
      </c>
      <c r="AP16" s="3"/>
      <c r="AQ16" s="3">
        <v>6637</v>
      </c>
      <c r="AR16" s="3"/>
      <c r="AS16" s="3">
        <v>24532</v>
      </c>
      <c r="AT16" s="3"/>
      <c r="AU16" s="3">
        <v>1491075</v>
      </c>
      <c r="AV16" s="3"/>
      <c r="AW16" s="3">
        <v>0</v>
      </c>
      <c r="AX16" s="3"/>
      <c r="AY16" s="3">
        <v>0</v>
      </c>
      <c r="AZ16" s="3"/>
      <c r="BA16" s="3">
        <v>0</v>
      </c>
      <c r="BB16" s="3"/>
      <c r="BC16" s="3">
        <v>0</v>
      </c>
      <c r="BD16" s="3"/>
      <c r="BE16" s="17">
        <f>SUM(G16:BC16)</f>
        <v>15958674</v>
      </c>
      <c r="BF16" s="3" t="s">
        <v>210</v>
      </c>
      <c r="BH16" s="16" t="s">
        <v>147</v>
      </c>
      <c r="BI16" s="3"/>
      <c r="BJ16" s="3">
        <v>28000</v>
      </c>
      <c r="BK16" s="3"/>
      <c r="BL16" s="3">
        <v>0</v>
      </c>
      <c r="BM16" s="3"/>
      <c r="BN16" s="3">
        <v>0</v>
      </c>
      <c r="BO16" s="3"/>
      <c r="BP16" s="3">
        <v>0</v>
      </c>
      <c r="BQ16" s="3"/>
      <c r="BR16" s="17">
        <f t="shared" si="0"/>
        <v>15986674</v>
      </c>
      <c r="BS16" s="3"/>
      <c r="BT16" s="17">
        <f>GovRev!AV16-BR16</f>
        <v>-354734</v>
      </c>
      <c r="BU16" s="3"/>
      <c r="BV16" s="3">
        <v>12226555</v>
      </c>
      <c r="BW16" s="3"/>
      <c r="BX16" s="3">
        <v>0</v>
      </c>
      <c r="BY16" s="3"/>
      <c r="BZ16" s="17">
        <f>+BV16+BT16+BX16</f>
        <v>11871821</v>
      </c>
      <c r="CA16" s="17"/>
      <c r="CB16" s="17">
        <f>-BZ16+GovBS!AE16</f>
        <v>0</v>
      </c>
      <c r="CE16" s="3"/>
      <c r="CF16" s="3" t="str">
        <f t="shared" si="2"/>
        <v>Ashtabula County JVSD</v>
      </c>
      <c r="CG16" s="3" t="b">
        <f t="shared" si="3"/>
        <v>1</v>
      </c>
      <c r="CH16" s="3" t="b">
        <f t="shared" si="4"/>
        <v>1</v>
      </c>
      <c r="CI16" s="20" t="str">
        <f>GovRev!A16</f>
        <v>Ashtabula County JVSD</v>
      </c>
      <c r="CJ16" s="20" t="b">
        <f t="shared" si="1"/>
        <v>1</v>
      </c>
      <c r="CL16" s="20" t="str">
        <f t="shared" si="5"/>
        <v>Ashtabula</v>
      </c>
      <c r="CM16" s="20" t="b">
        <f t="shared" si="6"/>
        <v>1</v>
      </c>
      <c r="CN16" s="20" t="b">
        <f t="shared" si="7"/>
        <v>1</v>
      </c>
      <c r="CP16" s="16" t="b">
        <f>C16=GovRev!C16</f>
        <v>1</v>
      </c>
    </row>
    <row r="17" spans="1:94" s="16" customFormat="1">
      <c r="A17" s="3" t="s">
        <v>325</v>
      </c>
      <c r="C17" s="16" t="s">
        <v>149</v>
      </c>
      <c r="E17" s="16">
        <v>51169</v>
      </c>
      <c r="G17" s="3">
        <v>0</v>
      </c>
      <c r="H17" s="3"/>
      <c r="I17" s="3">
        <v>669453</v>
      </c>
      <c r="J17" s="3"/>
      <c r="K17" s="3">
        <v>3838513</v>
      </c>
      <c r="L17" s="3"/>
      <c r="M17" s="32">
        <v>1104391</v>
      </c>
      <c r="N17" s="3"/>
      <c r="O17" s="3">
        <v>0</v>
      </c>
      <c r="P17" s="3"/>
      <c r="Q17" s="3">
        <v>950864</v>
      </c>
      <c r="R17" s="3"/>
      <c r="S17" s="3">
        <v>96583</v>
      </c>
      <c r="T17" s="3"/>
      <c r="U17" s="3">
        <v>258052</v>
      </c>
      <c r="V17" s="3"/>
      <c r="W17" s="3">
        <v>1379788</v>
      </c>
      <c r="X17" s="3"/>
      <c r="Y17" s="3">
        <v>509587</v>
      </c>
      <c r="Z17" s="3"/>
      <c r="AA17" s="3">
        <v>1920</v>
      </c>
      <c r="AB17" s="3"/>
      <c r="AC17" s="3">
        <v>1285217</v>
      </c>
      <c r="AD17" s="3"/>
      <c r="AE17" s="3" t="s">
        <v>325</v>
      </c>
      <c r="AG17" s="16" t="s">
        <v>149</v>
      </c>
      <c r="AI17" s="3">
        <v>16997</v>
      </c>
      <c r="AJ17" s="3"/>
      <c r="AK17" s="3">
        <v>560762</v>
      </c>
      <c r="AL17" s="3"/>
      <c r="AM17" s="3">
        <v>0</v>
      </c>
      <c r="AN17" s="3"/>
      <c r="AO17" s="3">
        <v>0</v>
      </c>
      <c r="AP17" s="3"/>
      <c r="AQ17" s="3">
        <v>206336</v>
      </c>
      <c r="AR17" s="3"/>
      <c r="AS17" s="3">
        <v>847</v>
      </c>
      <c r="AT17" s="3"/>
      <c r="AU17" s="3">
        <v>701540</v>
      </c>
      <c r="AV17" s="3"/>
      <c r="AW17" s="3">
        <v>0</v>
      </c>
      <c r="AX17" s="3"/>
      <c r="AY17" s="3">
        <v>0</v>
      </c>
      <c r="AZ17" s="3"/>
      <c r="BA17" s="3">
        <v>0</v>
      </c>
      <c r="BB17" s="3"/>
      <c r="BC17" s="3">
        <v>0</v>
      </c>
      <c r="BD17" s="3"/>
      <c r="BE17" s="17">
        <f t="shared" ref="BE17:BE64" si="8">SUM(G17:BC17)</f>
        <v>11580850</v>
      </c>
      <c r="BF17" s="3" t="s">
        <v>325</v>
      </c>
      <c r="BH17" s="16" t="s">
        <v>149</v>
      </c>
      <c r="BI17" s="3"/>
      <c r="BJ17" s="3">
        <v>71095</v>
      </c>
      <c r="BK17" s="3"/>
      <c r="BL17" s="3">
        <v>0</v>
      </c>
      <c r="BM17" s="3"/>
      <c r="BN17" s="3">
        <v>0</v>
      </c>
      <c r="BO17" s="3"/>
      <c r="BP17" s="3">
        <v>0</v>
      </c>
      <c r="BQ17" s="3"/>
      <c r="BR17" s="17">
        <f t="shared" si="0"/>
        <v>11651945</v>
      </c>
      <c r="BS17" s="3"/>
      <c r="BT17" s="17">
        <f>GovRev!AV17-BR17</f>
        <v>-226451</v>
      </c>
      <c r="BU17" s="3"/>
      <c r="BV17" s="3">
        <v>6908791</v>
      </c>
      <c r="BW17" s="3"/>
      <c r="BX17" s="3">
        <v>0</v>
      </c>
      <c r="BY17" s="3"/>
      <c r="BZ17" s="17">
        <f t="shared" ref="BZ17:BZ81" si="9">+BV17+BT17+BX17</f>
        <v>6682340</v>
      </c>
      <c r="CA17" s="17"/>
      <c r="CB17" s="17">
        <f>-BZ17+GovBS!AE17</f>
        <v>0</v>
      </c>
      <c r="CE17" s="3"/>
      <c r="CF17" s="3" t="str">
        <f t="shared" si="2"/>
        <v>Auburn VSD</v>
      </c>
      <c r="CG17" s="3" t="b">
        <f t="shared" si="3"/>
        <v>1</v>
      </c>
      <c r="CH17" s="3" t="b">
        <f t="shared" si="4"/>
        <v>1</v>
      </c>
      <c r="CI17" s="20" t="str">
        <f>GovRev!A17</f>
        <v>Auburn VSD</v>
      </c>
      <c r="CJ17" s="20" t="b">
        <f t="shared" si="1"/>
        <v>1</v>
      </c>
      <c r="CL17" s="20" t="str">
        <f t="shared" si="5"/>
        <v>Lake</v>
      </c>
      <c r="CM17" s="20" t="b">
        <f t="shared" si="6"/>
        <v>1</v>
      </c>
      <c r="CN17" s="20" t="b">
        <f t="shared" si="7"/>
        <v>1</v>
      </c>
      <c r="CP17" s="16" t="b">
        <f>C17=GovRev!C17</f>
        <v>1</v>
      </c>
    </row>
    <row r="18" spans="1:94" s="16" customFormat="1">
      <c r="A18" s="3" t="s">
        <v>326</v>
      </c>
      <c r="C18" s="16" t="s">
        <v>152</v>
      </c>
      <c r="E18" s="16">
        <v>50856</v>
      </c>
      <c r="G18" s="3">
        <v>223052</v>
      </c>
      <c r="H18" s="3"/>
      <c r="I18" s="3">
        <v>0</v>
      </c>
      <c r="J18" s="3"/>
      <c r="K18" s="3">
        <v>3460884</v>
      </c>
      <c r="L18" s="3"/>
      <c r="M18" s="32">
        <v>112</v>
      </c>
      <c r="N18" s="3"/>
      <c r="O18" s="3">
        <v>66492</v>
      </c>
      <c r="P18" s="3"/>
      <c r="Q18" s="3">
        <v>776027</v>
      </c>
      <c r="R18" s="3"/>
      <c r="S18" s="3">
        <v>65727</v>
      </c>
      <c r="T18" s="3"/>
      <c r="U18" s="3">
        <v>33524</v>
      </c>
      <c r="V18" s="3"/>
      <c r="W18" s="3">
        <v>525195</v>
      </c>
      <c r="X18" s="3"/>
      <c r="Y18" s="3">
        <v>259332</v>
      </c>
      <c r="Z18" s="3"/>
      <c r="AA18" s="3">
        <v>0</v>
      </c>
      <c r="AB18" s="3"/>
      <c r="AC18" s="3">
        <v>572537</v>
      </c>
      <c r="AD18" s="3"/>
      <c r="AE18" s="3" t="s">
        <v>326</v>
      </c>
      <c r="AG18" s="16" t="s">
        <v>152</v>
      </c>
      <c r="AI18" s="3">
        <v>0</v>
      </c>
      <c r="AJ18" s="3"/>
      <c r="AK18" s="3">
        <v>175565</v>
      </c>
      <c r="AL18" s="3"/>
      <c r="AM18" s="3">
        <v>0</v>
      </c>
      <c r="AN18" s="3"/>
      <c r="AO18" s="3">
        <v>173916</v>
      </c>
      <c r="AP18" s="3"/>
      <c r="AQ18" s="3">
        <v>0</v>
      </c>
      <c r="AR18" s="3"/>
      <c r="AS18" s="3">
        <v>28443</v>
      </c>
      <c r="AT18" s="3"/>
      <c r="AU18" s="3">
        <v>0</v>
      </c>
      <c r="AV18" s="3"/>
      <c r="AW18" s="3">
        <v>0</v>
      </c>
      <c r="AX18" s="3"/>
      <c r="AY18" s="3">
        <v>33333</v>
      </c>
      <c r="AZ18" s="3"/>
      <c r="BA18" s="3">
        <v>0</v>
      </c>
      <c r="BB18" s="3"/>
      <c r="BC18" s="3">
        <v>0</v>
      </c>
      <c r="BD18" s="3"/>
      <c r="BE18" s="17">
        <f t="shared" si="8"/>
        <v>6394139</v>
      </c>
      <c r="BF18" s="3" t="s">
        <v>326</v>
      </c>
      <c r="BH18" s="16" t="s">
        <v>152</v>
      </c>
      <c r="BI18" s="3"/>
      <c r="BJ18" s="3">
        <v>0</v>
      </c>
      <c r="BK18" s="3"/>
      <c r="BL18" s="3">
        <v>0</v>
      </c>
      <c r="BM18" s="3"/>
      <c r="BN18" s="3">
        <v>0</v>
      </c>
      <c r="BO18" s="3"/>
      <c r="BP18" s="3">
        <v>0</v>
      </c>
      <c r="BQ18" s="3"/>
      <c r="BR18" s="17">
        <f t="shared" si="0"/>
        <v>6394139</v>
      </c>
      <c r="BS18" s="3"/>
      <c r="BT18" s="17">
        <f>GovRev!AV18-BR18</f>
        <v>460482</v>
      </c>
      <c r="BU18" s="3"/>
      <c r="BV18" s="3">
        <v>93548</v>
      </c>
      <c r="BW18" s="3"/>
      <c r="BX18" s="3">
        <v>0</v>
      </c>
      <c r="BY18" s="3"/>
      <c r="BZ18" s="17">
        <f t="shared" si="9"/>
        <v>554030</v>
      </c>
      <c r="CA18" s="17"/>
      <c r="CB18" s="17">
        <f>-BZ18+GovBS!AE18</f>
        <v>0</v>
      </c>
      <c r="CE18" s="3"/>
      <c r="CF18" s="3" t="str">
        <f t="shared" si="2"/>
        <v>Belmont-Harrison VSD</v>
      </c>
      <c r="CG18" s="3" t="b">
        <f t="shared" si="3"/>
        <v>1</v>
      </c>
      <c r="CH18" s="3" t="b">
        <f t="shared" si="4"/>
        <v>1</v>
      </c>
      <c r="CI18" s="20" t="str">
        <f>GovRev!A18</f>
        <v>Belmont-Harrison VSD</v>
      </c>
      <c r="CJ18" s="20" t="b">
        <f t="shared" si="1"/>
        <v>1</v>
      </c>
      <c r="CL18" s="20" t="str">
        <f t="shared" si="5"/>
        <v>Belmont</v>
      </c>
      <c r="CM18" s="20" t="b">
        <f t="shared" si="6"/>
        <v>1</v>
      </c>
      <c r="CN18" s="20" t="b">
        <f t="shared" si="7"/>
        <v>1</v>
      </c>
      <c r="CP18" s="16" t="b">
        <f>C18=GovRev!C18</f>
        <v>1</v>
      </c>
    </row>
    <row r="19" spans="1:94" s="16" customFormat="1">
      <c r="A19" s="3" t="s">
        <v>227</v>
      </c>
      <c r="C19" s="16" t="s">
        <v>202</v>
      </c>
      <c r="E19" s="16">
        <v>51656</v>
      </c>
      <c r="G19" s="3">
        <v>1199155</v>
      </c>
      <c r="H19" s="3"/>
      <c r="I19" s="3">
        <v>597610</v>
      </c>
      <c r="J19" s="3"/>
      <c r="K19" s="3">
        <v>5947288</v>
      </c>
      <c r="L19" s="3"/>
      <c r="M19" s="32">
        <v>1585910</v>
      </c>
      <c r="N19" s="3"/>
      <c r="O19" s="3">
        <v>0</v>
      </c>
      <c r="P19" s="3"/>
      <c r="Q19" s="3">
        <v>884121</v>
      </c>
      <c r="R19" s="3"/>
      <c r="S19" s="3">
        <v>669032</v>
      </c>
      <c r="T19" s="3"/>
      <c r="U19" s="3">
        <v>150068</v>
      </c>
      <c r="V19" s="3"/>
      <c r="W19" s="3">
        <v>690105</v>
      </c>
      <c r="X19" s="3"/>
      <c r="Y19" s="3">
        <v>404141</v>
      </c>
      <c r="Z19" s="3"/>
      <c r="AA19" s="3">
        <v>0</v>
      </c>
      <c r="AB19" s="3"/>
      <c r="AC19" s="3">
        <v>1546478</v>
      </c>
      <c r="AD19" s="3"/>
      <c r="AE19" s="3" t="s">
        <v>227</v>
      </c>
      <c r="AG19" s="16" t="s">
        <v>202</v>
      </c>
      <c r="AI19" s="3">
        <v>653</v>
      </c>
      <c r="AJ19" s="3"/>
      <c r="AK19" s="3">
        <v>173513</v>
      </c>
      <c r="AL19" s="3"/>
      <c r="AM19" s="3">
        <v>0</v>
      </c>
      <c r="AN19" s="3"/>
      <c r="AO19" s="3">
        <v>431057</v>
      </c>
      <c r="AP19" s="3"/>
      <c r="AQ19" s="3">
        <v>2114</v>
      </c>
      <c r="AR19" s="3"/>
      <c r="AS19" s="3">
        <v>13171</v>
      </c>
      <c r="AT19" s="3"/>
      <c r="AU19" s="3">
        <f>250921+101063</f>
        <v>351984</v>
      </c>
      <c r="AV19" s="3"/>
      <c r="AW19" s="3">
        <v>0</v>
      </c>
      <c r="AX19" s="3"/>
      <c r="AY19" s="3">
        <v>55512</v>
      </c>
      <c r="AZ19" s="3"/>
      <c r="BA19" s="3">
        <v>13888</v>
      </c>
      <c r="BB19" s="3"/>
      <c r="BC19" s="3">
        <v>0</v>
      </c>
      <c r="BD19" s="3"/>
      <c r="BE19" s="17">
        <f t="shared" si="8"/>
        <v>14715800</v>
      </c>
      <c r="BF19" s="3" t="s">
        <v>227</v>
      </c>
      <c r="BH19" s="16" t="s">
        <v>202</v>
      </c>
      <c r="BI19" s="3"/>
      <c r="BJ19" s="3">
        <v>55400</v>
      </c>
      <c r="BK19" s="3"/>
      <c r="BL19" s="3">
        <v>0</v>
      </c>
      <c r="BM19" s="3"/>
      <c r="BN19" s="3">
        <v>0</v>
      </c>
      <c r="BO19" s="3"/>
      <c r="BP19" s="3">
        <v>0</v>
      </c>
      <c r="BQ19" s="3"/>
      <c r="BR19" s="17">
        <f t="shared" si="0"/>
        <v>14771200</v>
      </c>
      <c r="BS19" s="3"/>
      <c r="BT19" s="17">
        <f>GovRev!AV19-BR19</f>
        <v>916417</v>
      </c>
      <c r="BU19" s="3"/>
      <c r="BV19" s="3">
        <v>17630951</v>
      </c>
      <c r="BW19" s="3"/>
      <c r="BX19" s="3">
        <v>0</v>
      </c>
      <c r="BY19" s="3"/>
      <c r="BZ19" s="17">
        <f t="shared" si="9"/>
        <v>18547368</v>
      </c>
      <c r="CA19" s="17"/>
      <c r="CB19" s="17">
        <f>-BZ19+GovBS!AE19</f>
        <v>0</v>
      </c>
      <c r="CE19" s="3"/>
      <c r="CF19" s="3" t="str">
        <f t="shared" si="2"/>
        <v>Buckeye JVSD</v>
      </c>
      <c r="CG19" s="3" t="b">
        <f t="shared" si="3"/>
        <v>1</v>
      </c>
      <c r="CH19" s="3" t="b">
        <f t="shared" si="4"/>
        <v>1</v>
      </c>
      <c r="CI19" s="20" t="str">
        <f>GovRev!A19</f>
        <v>Buckeye JVSD</v>
      </c>
      <c r="CJ19" s="20" t="b">
        <f t="shared" si="1"/>
        <v>1</v>
      </c>
      <c r="CL19" s="20" t="str">
        <f t="shared" si="5"/>
        <v>Tuscarawas</v>
      </c>
      <c r="CM19" s="20" t="b">
        <f t="shared" si="6"/>
        <v>1</v>
      </c>
      <c r="CN19" s="20" t="b">
        <f t="shared" si="7"/>
        <v>1</v>
      </c>
      <c r="CP19" s="16" t="b">
        <f>C19=GovRev!C19</f>
        <v>1</v>
      </c>
    </row>
    <row r="20" spans="1:94" s="16" customFormat="1">
      <c r="A20" s="3" t="s">
        <v>287</v>
      </c>
      <c r="C20" s="16" t="s">
        <v>150</v>
      </c>
      <c r="E20" s="16">
        <v>50880</v>
      </c>
      <c r="G20" s="3">
        <v>476740</v>
      </c>
      <c r="H20" s="3"/>
      <c r="I20" s="3">
        <v>0</v>
      </c>
      <c r="J20" s="3"/>
      <c r="K20" s="3">
        <v>22645733</v>
      </c>
      <c r="L20" s="3"/>
      <c r="M20" s="32">
        <v>0</v>
      </c>
      <c r="N20" s="3"/>
      <c r="O20" s="3">
        <v>68816</v>
      </c>
      <c r="P20" s="3"/>
      <c r="Q20" s="3">
        <v>1661627</v>
      </c>
      <c r="R20" s="3"/>
      <c r="S20" s="3">
        <v>3151353</v>
      </c>
      <c r="T20" s="3"/>
      <c r="U20" s="3">
        <v>114950</v>
      </c>
      <c r="V20" s="3"/>
      <c r="W20" s="3">
        <v>3004584</v>
      </c>
      <c r="X20" s="3"/>
      <c r="Y20" s="3">
        <v>1273805</v>
      </c>
      <c r="Z20" s="3"/>
      <c r="AA20" s="3">
        <v>65789</v>
      </c>
      <c r="AB20" s="3"/>
      <c r="AC20" s="3">
        <v>3503623</v>
      </c>
      <c r="AD20" s="3"/>
      <c r="AE20" s="3" t="s">
        <v>287</v>
      </c>
      <c r="AG20" s="16" t="s">
        <v>150</v>
      </c>
      <c r="AI20" s="3">
        <v>124997</v>
      </c>
      <c r="AJ20" s="3"/>
      <c r="AK20" s="3">
        <v>2934894</v>
      </c>
      <c r="AL20" s="3"/>
      <c r="AM20" s="3">
        <v>0</v>
      </c>
      <c r="AN20" s="3"/>
      <c r="AO20" s="3">
        <v>0</v>
      </c>
      <c r="AP20" s="3"/>
      <c r="AQ20" s="3">
        <v>101984</v>
      </c>
      <c r="AR20" s="3"/>
      <c r="AS20" s="3">
        <v>332399</v>
      </c>
      <c r="AT20" s="3"/>
      <c r="AU20" s="3">
        <v>6575801</v>
      </c>
      <c r="AV20" s="3"/>
      <c r="AW20" s="3">
        <v>0</v>
      </c>
      <c r="AX20" s="3"/>
      <c r="AY20" s="3">
        <v>0</v>
      </c>
      <c r="AZ20" s="3"/>
      <c r="BA20" s="3">
        <v>80300</v>
      </c>
      <c r="BB20" s="3"/>
      <c r="BC20" s="3">
        <v>0</v>
      </c>
      <c r="BD20" s="3"/>
      <c r="BE20" s="17">
        <f t="shared" si="8"/>
        <v>46117395</v>
      </c>
      <c r="BF20" s="3" t="s">
        <v>287</v>
      </c>
      <c r="BH20" s="16" t="s">
        <v>150</v>
      </c>
      <c r="BI20" s="3"/>
      <c r="BJ20" s="3">
        <v>1731192</v>
      </c>
      <c r="BK20" s="3"/>
      <c r="BL20" s="3">
        <v>0</v>
      </c>
      <c r="BM20" s="3"/>
      <c r="BN20" s="3">
        <v>0</v>
      </c>
      <c r="BO20" s="3"/>
      <c r="BP20" s="3">
        <v>0</v>
      </c>
      <c r="BQ20" s="3"/>
      <c r="BR20" s="17">
        <f t="shared" si="0"/>
        <v>47848587</v>
      </c>
      <c r="BS20" s="3"/>
      <c r="BT20" s="17">
        <f>GovRev!AV20-BR20</f>
        <v>-3281042</v>
      </c>
      <c r="BU20" s="3"/>
      <c r="BV20" s="3">
        <v>13098297</v>
      </c>
      <c r="BW20" s="3"/>
      <c r="BX20" s="3">
        <v>0</v>
      </c>
      <c r="BY20" s="3"/>
      <c r="BZ20" s="17">
        <f t="shared" si="9"/>
        <v>9817255</v>
      </c>
      <c r="CA20" s="17"/>
      <c r="CB20" s="17">
        <f>-BZ20+GovBS!AE20</f>
        <v>0</v>
      </c>
      <c r="CE20" s="3"/>
      <c r="CF20" s="3" t="str">
        <f t="shared" si="2"/>
        <v>Butler Technology and Career Development</v>
      </c>
      <c r="CG20" s="3" t="b">
        <f t="shared" si="3"/>
        <v>1</v>
      </c>
      <c r="CH20" s="3" t="b">
        <f t="shared" si="4"/>
        <v>1</v>
      </c>
      <c r="CI20" s="20" t="str">
        <f>GovRev!A20</f>
        <v>Butler Technology and Career Development</v>
      </c>
      <c r="CJ20" s="20" t="b">
        <f t="shared" si="1"/>
        <v>1</v>
      </c>
      <c r="CL20" s="20" t="str">
        <f t="shared" si="5"/>
        <v>Butler</v>
      </c>
      <c r="CM20" s="20" t="b">
        <f t="shared" si="6"/>
        <v>1</v>
      </c>
      <c r="CN20" s="20" t="b">
        <f t="shared" si="7"/>
        <v>1</v>
      </c>
      <c r="CP20" s="16" t="b">
        <f>C20=GovRev!C20</f>
        <v>1</v>
      </c>
    </row>
    <row r="21" spans="1:94" s="16" customFormat="1">
      <c r="A21" s="3" t="s">
        <v>291</v>
      </c>
      <c r="C21" s="16" t="s">
        <v>176</v>
      </c>
      <c r="E21" s="16">
        <v>51201</v>
      </c>
      <c r="G21" s="3">
        <v>222737</v>
      </c>
      <c r="H21" s="3"/>
      <c r="I21" s="3">
        <v>527472</v>
      </c>
      <c r="J21" s="3"/>
      <c r="K21" s="3">
        <v>4984470</v>
      </c>
      <c r="L21" s="3"/>
      <c r="M21" s="32">
        <v>2064274</v>
      </c>
      <c r="N21" s="3"/>
      <c r="O21" s="3">
        <v>0</v>
      </c>
      <c r="P21" s="3"/>
      <c r="Q21" s="3">
        <v>677928</v>
      </c>
      <c r="R21" s="3"/>
      <c r="S21" s="3">
        <v>864377</v>
      </c>
      <c r="T21" s="3"/>
      <c r="U21" s="3">
        <v>19653</v>
      </c>
      <c r="V21" s="3"/>
      <c r="W21" s="3">
        <v>1009862</v>
      </c>
      <c r="X21" s="3"/>
      <c r="Y21" s="3">
        <v>392446</v>
      </c>
      <c r="Z21" s="3"/>
      <c r="AA21" s="3">
        <v>333224</v>
      </c>
      <c r="AB21" s="3"/>
      <c r="AC21" s="3">
        <v>1337437</v>
      </c>
      <c r="AD21" s="3"/>
      <c r="AE21" s="3" t="s">
        <v>291</v>
      </c>
      <c r="AG21" s="16" t="s">
        <v>176</v>
      </c>
      <c r="AI21" s="3">
        <v>8534</v>
      </c>
      <c r="AJ21" s="3"/>
      <c r="AK21" s="3">
        <v>1186755</v>
      </c>
      <c r="AL21" s="3"/>
      <c r="AM21" s="3">
        <v>0</v>
      </c>
      <c r="AN21" s="3"/>
      <c r="AO21" s="3">
        <v>254866</v>
      </c>
      <c r="AP21" s="3"/>
      <c r="AQ21" s="3">
        <v>453</v>
      </c>
      <c r="AR21" s="3"/>
      <c r="AS21" s="3">
        <v>62738</v>
      </c>
      <c r="AT21" s="3"/>
      <c r="AU21" s="3">
        <v>0</v>
      </c>
      <c r="AV21" s="3"/>
      <c r="AW21" s="3">
        <v>0</v>
      </c>
      <c r="AX21" s="3"/>
      <c r="AY21" s="3">
        <v>4755343</v>
      </c>
      <c r="AZ21" s="3"/>
      <c r="BA21" s="3">
        <v>1117711</v>
      </c>
      <c r="BB21" s="3"/>
      <c r="BC21" s="3">
        <v>0</v>
      </c>
      <c r="BD21" s="3"/>
      <c r="BE21" s="17">
        <f>SUM(G21:BC21)</f>
        <v>19820280</v>
      </c>
      <c r="BF21" s="3" t="s">
        <v>291</v>
      </c>
      <c r="BH21" s="16" t="s">
        <v>176</v>
      </c>
      <c r="BI21" s="3"/>
      <c r="BJ21" s="3">
        <v>11843</v>
      </c>
      <c r="BK21" s="3"/>
      <c r="BL21" s="3">
        <v>0</v>
      </c>
      <c r="BM21" s="3"/>
      <c r="BN21" s="3">
        <v>0</v>
      </c>
      <c r="BO21" s="3"/>
      <c r="BP21" s="3">
        <v>0</v>
      </c>
      <c r="BQ21" s="3"/>
      <c r="BR21" s="17">
        <f>+BE21+BJ21+BL21+BP21+BN21</f>
        <v>19832123</v>
      </c>
      <c r="BS21" s="3"/>
      <c r="BT21" s="17">
        <f>GovRev!AV21-BR21</f>
        <v>-1751854</v>
      </c>
      <c r="BU21" s="3"/>
      <c r="BV21" s="3">
        <v>6946066</v>
      </c>
      <c r="BW21" s="3"/>
      <c r="BX21" s="3">
        <v>0</v>
      </c>
      <c r="BY21" s="3"/>
      <c r="BZ21" s="17">
        <f>+BV21+BT21+BX21</f>
        <v>5194212</v>
      </c>
      <c r="CA21" s="17"/>
      <c r="CB21" s="17">
        <f>-BZ21+GovBS!AE21</f>
        <v>0</v>
      </c>
      <c r="CE21" s="3"/>
      <c r="CF21" s="3" t="str">
        <f>A21</f>
        <v>Career and Technology Education Centers of Licking County</v>
      </c>
      <c r="CG21" s="3" t="b">
        <f>A21=AE21</f>
        <v>1</v>
      </c>
      <c r="CH21" s="3" t="b">
        <f>A21=BF21</f>
        <v>1</v>
      </c>
      <c r="CI21" s="20" t="str">
        <f>GovRev!A21</f>
        <v>Career and Technology Education Centers of Licking County</v>
      </c>
      <c r="CJ21" s="20" t="b">
        <f>CF21=CI21</f>
        <v>1</v>
      </c>
      <c r="CL21" s="20" t="str">
        <f>C21</f>
        <v>Licking</v>
      </c>
      <c r="CM21" s="20" t="b">
        <f>C21=AG21</f>
        <v>1</v>
      </c>
      <c r="CN21" s="20" t="b">
        <f>C21=BH21</f>
        <v>1</v>
      </c>
      <c r="CP21" s="16" t="b">
        <f>C21=GovRev!C21</f>
        <v>1</v>
      </c>
    </row>
    <row r="22" spans="1:94" s="66" customFormat="1" hidden="1">
      <c r="A22" s="65" t="s">
        <v>289</v>
      </c>
      <c r="C22" s="66" t="s">
        <v>220</v>
      </c>
      <c r="E22" s="66">
        <v>63511</v>
      </c>
      <c r="G22" s="65"/>
      <c r="H22" s="65"/>
      <c r="I22" s="65"/>
      <c r="J22" s="65"/>
      <c r="K22" s="65"/>
      <c r="L22" s="65"/>
      <c r="M22" s="80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 t="s">
        <v>289</v>
      </c>
      <c r="AG22" s="66" t="s">
        <v>220</v>
      </c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7">
        <f t="shared" si="8"/>
        <v>0</v>
      </c>
      <c r="BF22" s="65" t="s">
        <v>289</v>
      </c>
      <c r="BH22" s="66" t="s">
        <v>220</v>
      </c>
      <c r="BI22" s="65"/>
      <c r="BJ22" s="65"/>
      <c r="BK22" s="65"/>
      <c r="BL22" s="65"/>
      <c r="BM22" s="65"/>
      <c r="BN22" s="65"/>
      <c r="BO22" s="65"/>
      <c r="BP22" s="65"/>
      <c r="BQ22" s="65"/>
      <c r="BR22" s="67">
        <f t="shared" si="0"/>
        <v>0</v>
      </c>
      <c r="BS22" s="65"/>
      <c r="BT22" s="67">
        <f>GovRev!AV22-BR22</f>
        <v>0</v>
      </c>
      <c r="BU22" s="65"/>
      <c r="BV22" s="65"/>
      <c r="BW22" s="65"/>
      <c r="BX22" s="65"/>
      <c r="BY22" s="65"/>
      <c r="BZ22" s="67">
        <f t="shared" si="9"/>
        <v>0</v>
      </c>
      <c r="CA22" s="67"/>
      <c r="CB22" s="67">
        <f>-BZ22+GovBS!AE22</f>
        <v>0</v>
      </c>
      <c r="CE22" s="66" t="s">
        <v>304</v>
      </c>
      <c r="CF22" s="65" t="str">
        <f t="shared" si="2"/>
        <v>Central Ohio JVSD- now Tolles Career &amp; Technical Center since 2005</v>
      </c>
      <c r="CG22" s="65" t="b">
        <f t="shared" si="3"/>
        <v>1</v>
      </c>
      <c r="CH22" s="65" t="b">
        <f t="shared" si="4"/>
        <v>1</v>
      </c>
      <c r="CI22" s="68" t="str">
        <f>GovRev!A22</f>
        <v>Central Ohio JVSD- now Tolles Career &amp; Technical Center since 2005</v>
      </c>
      <c r="CJ22" s="68" t="b">
        <f t="shared" si="1"/>
        <v>1</v>
      </c>
      <c r="CL22" s="68" t="str">
        <f t="shared" si="5"/>
        <v>Madison</v>
      </c>
      <c r="CM22" s="68" t="b">
        <f t="shared" si="6"/>
        <v>1</v>
      </c>
      <c r="CN22" s="68" t="b">
        <f t="shared" si="7"/>
        <v>1</v>
      </c>
      <c r="CP22" s="66" t="b">
        <f>C22=GovRev!C22</f>
        <v>1</v>
      </c>
    </row>
    <row r="23" spans="1:94" s="16" customFormat="1">
      <c r="A23" s="3" t="s">
        <v>288</v>
      </c>
      <c r="C23" s="16" t="s">
        <v>159</v>
      </c>
      <c r="E23" s="16">
        <v>50906</v>
      </c>
      <c r="G23" s="3">
        <v>567042</v>
      </c>
      <c r="H23" s="3"/>
      <c r="I23" s="3">
        <v>220306</v>
      </c>
      <c r="J23" s="3"/>
      <c r="K23" s="3">
        <v>2607666</v>
      </c>
      <c r="L23" s="3"/>
      <c r="M23" s="32">
        <v>134360</v>
      </c>
      <c r="N23" s="3"/>
      <c r="O23" s="3">
        <v>0</v>
      </c>
      <c r="P23" s="3"/>
      <c r="Q23" s="3">
        <v>310751</v>
      </c>
      <c r="R23" s="3"/>
      <c r="S23" s="3">
        <v>424909</v>
      </c>
      <c r="T23" s="3"/>
      <c r="U23" s="3">
        <v>26672</v>
      </c>
      <c r="V23" s="3"/>
      <c r="W23" s="3">
        <v>1046920</v>
      </c>
      <c r="X23" s="3"/>
      <c r="Y23" s="3">
        <v>349422</v>
      </c>
      <c r="Z23" s="3"/>
      <c r="AA23" s="3">
        <v>0</v>
      </c>
      <c r="AB23" s="3"/>
      <c r="AC23" s="3">
        <v>820149</v>
      </c>
      <c r="AD23" s="3"/>
      <c r="AE23" s="3" t="s">
        <v>288</v>
      </c>
      <c r="AG23" s="16" t="s">
        <v>159</v>
      </c>
      <c r="AI23" s="3">
        <v>0</v>
      </c>
      <c r="AJ23" s="3"/>
      <c r="AK23" s="3">
        <v>12791</v>
      </c>
      <c r="AL23" s="3"/>
      <c r="AM23" s="3">
        <v>0</v>
      </c>
      <c r="AN23" s="3"/>
      <c r="AO23" s="3">
        <v>161789</v>
      </c>
      <c r="AP23" s="3"/>
      <c r="AQ23" s="3">
        <v>0</v>
      </c>
      <c r="AR23" s="3"/>
      <c r="AS23" s="3">
        <v>26988</v>
      </c>
      <c r="AT23" s="3"/>
      <c r="AU23" s="3">
        <v>117249</v>
      </c>
      <c r="AV23" s="3"/>
      <c r="AW23" s="3">
        <v>0</v>
      </c>
      <c r="AX23" s="3"/>
      <c r="AY23" s="3">
        <v>0</v>
      </c>
      <c r="AZ23" s="3"/>
      <c r="BA23" s="3">
        <v>0</v>
      </c>
      <c r="BB23" s="3"/>
      <c r="BC23" s="3">
        <v>0</v>
      </c>
      <c r="BD23" s="3"/>
      <c r="BE23" s="17">
        <f t="shared" si="8"/>
        <v>6827014</v>
      </c>
      <c r="BF23" s="3" t="s">
        <v>288</v>
      </c>
      <c r="BH23" s="16" t="s">
        <v>159</v>
      </c>
      <c r="BI23" s="3"/>
      <c r="BJ23" s="3">
        <v>500000</v>
      </c>
      <c r="BK23" s="3"/>
      <c r="BL23" s="3">
        <v>0</v>
      </c>
      <c r="BM23" s="3"/>
      <c r="BN23" s="3">
        <v>0</v>
      </c>
      <c r="BO23" s="3"/>
      <c r="BP23" s="3">
        <v>0</v>
      </c>
      <c r="BQ23" s="3"/>
      <c r="BR23" s="17">
        <f t="shared" si="0"/>
        <v>7327014</v>
      </c>
      <c r="BS23" s="3"/>
      <c r="BT23" s="17">
        <f>GovRev!AV23-BR23</f>
        <v>1159702</v>
      </c>
      <c r="BU23" s="3"/>
      <c r="BV23" s="3">
        <v>5377756</v>
      </c>
      <c r="BW23" s="3"/>
      <c r="BX23" s="3">
        <v>0</v>
      </c>
      <c r="BY23" s="3"/>
      <c r="BZ23" s="17">
        <f t="shared" si="9"/>
        <v>6537458</v>
      </c>
      <c r="CA23" s="17"/>
      <c r="CB23" s="17">
        <f>-BZ23+GovBS!AE23</f>
        <v>0</v>
      </c>
      <c r="CE23" s="3"/>
      <c r="CF23" s="3" t="str">
        <f t="shared" si="2"/>
        <v>Columbiana County Career &amp; Technical Center</v>
      </c>
      <c r="CG23" s="3" t="b">
        <f t="shared" si="3"/>
        <v>1</v>
      </c>
      <c r="CH23" s="3" t="b">
        <f t="shared" si="4"/>
        <v>1</v>
      </c>
      <c r="CI23" s="20" t="str">
        <f>GovRev!A23</f>
        <v>Columbiana County Career &amp; Technical Center</v>
      </c>
      <c r="CJ23" s="20" t="b">
        <f t="shared" si="1"/>
        <v>1</v>
      </c>
      <c r="CL23" s="20" t="str">
        <f t="shared" si="5"/>
        <v>Columbiana</v>
      </c>
      <c r="CM23" s="20" t="b">
        <f t="shared" si="6"/>
        <v>1</v>
      </c>
      <c r="CN23" s="20" t="b">
        <f t="shared" si="7"/>
        <v>1</v>
      </c>
      <c r="CP23" s="16" t="b">
        <f>C23=GovRev!C23</f>
        <v>1</v>
      </c>
    </row>
    <row r="24" spans="1:94" s="16" customFormat="1">
      <c r="A24" s="3" t="s">
        <v>253</v>
      </c>
      <c r="C24" s="16" t="s">
        <v>213</v>
      </c>
      <c r="E24" s="16">
        <v>65227</v>
      </c>
      <c r="G24" s="3">
        <v>513781</v>
      </c>
      <c r="H24" s="3"/>
      <c r="I24" s="3">
        <v>82205</v>
      </c>
      <c r="J24" s="3"/>
      <c r="K24" s="3">
        <v>1402174</v>
      </c>
      <c r="L24" s="3"/>
      <c r="M24" s="32">
        <v>0</v>
      </c>
      <c r="N24" s="3"/>
      <c r="O24" s="3">
        <v>0</v>
      </c>
      <c r="P24" s="3"/>
      <c r="Q24" s="3">
        <v>166430</v>
      </c>
      <c r="R24" s="3"/>
      <c r="S24" s="3">
        <v>151536</v>
      </c>
      <c r="T24" s="3"/>
      <c r="U24" s="3">
        <v>52052</v>
      </c>
      <c r="V24" s="3"/>
      <c r="W24" s="3">
        <v>209478</v>
      </c>
      <c r="X24" s="3"/>
      <c r="Y24" s="3">
        <v>180174</v>
      </c>
      <c r="Z24" s="3"/>
      <c r="AA24" s="3">
        <v>47716</v>
      </c>
      <c r="AB24" s="3"/>
      <c r="AC24" s="3">
        <v>713319</v>
      </c>
      <c r="AD24" s="3"/>
      <c r="AE24" s="3" t="s">
        <v>253</v>
      </c>
      <c r="AG24" s="16" t="s">
        <v>213</v>
      </c>
      <c r="AI24" s="3">
        <v>16040</v>
      </c>
      <c r="AJ24" s="3"/>
      <c r="AK24" s="3">
        <v>18701</v>
      </c>
      <c r="AL24" s="3"/>
      <c r="AM24" s="3">
        <v>0</v>
      </c>
      <c r="AN24" s="3"/>
      <c r="AO24" s="3">
        <v>110001</v>
      </c>
      <c r="AP24" s="3"/>
      <c r="AQ24" s="3">
        <v>0</v>
      </c>
      <c r="AR24" s="3"/>
      <c r="AS24" s="3">
        <v>17857</v>
      </c>
      <c r="AT24" s="3"/>
      <c r="AU24" s="3">
        <v>0</v>
      </c>
      <c r="AV24" s="3"/>
      <c r="AW24" s="3">
        <v>0</v>
      </c>
      <c r="AX24" s="3"/>
      <c r="AY24" s="3">
        <v>61450</v>
      </c>
      <c r="AZ24" s="3"/>
      <c r="BA24" s="3">
        <v>10780</v>
      </c>
      <c r="BB24" s="3"/>
      <c r="BC24" s="3">
        <v>0</v>
      </c>
      <c r="BD24" s="3"/>
      <c r="BE24" s="17">
        <f t="shared" si="8"/>
        <v>3753694</v>
      </c>
      <c r="BF24" s="3" t="s">
        <v>253</v>
      </c>
      <c r="BH24" s="16" t="s">
        <v>213</v>
      </c>
      <c r="BI24" s="3"/>
      <c r="BJ24" s="3">
        <v>0</v>
      </c>
      <c r="BK24" s="3"/>
      <c r="BL24" s="3">
        <v>0</v>
      </c>
      <c r="BM24" s="3"/>
      <c r="BN24" s="3">
        <v>0</v>
      </c>
      <c r="BO24" s="3"/>
      <c r="BP24" s="3">
        <v>0</v>
      </c>
      <c r="BQ24" s="3"/>
      <c r="BR24" s="17">
        <f t="shared" si="0"/>
        <v>3753694</v>
      </c>
      <c r="BS24" s="3"/>
      <c r="BT24" s="17">
        <f>GovRev!AV24-BR24</f>
        <v>482517</v>
      </c>
      <c r="BU24" s="3"/>
      <c r="BV24" s="3">
        <v>396018</v>
      </c>
      <c r="BW24" s="3"/>
      <c r="BX24" s="3">
        <v>0</v>
      </c>
      <c r="BY24" s="3"/>
      <c r="BZ24" s="17">
        <f t="shared" si="9"/>
        <v>878535</v>
      </c>
      <c r="CA24" s="17"/>
      <c r="CB24" s="17">
        <f>-BZ24+GovBS!AE24</f>
        <v>0</v>
      </c>
      <c r="CE24" s="3"/>
      <c r="CF24" s="3" t="str">
        <f t="shared" si="2"/>
        <v>Coshocton County Career Center</v>
      </c>
      <c r="CG24" s="3" t="b">
        <f t="shared" si="3"/>
        <v>1</v>
      </c>
      <c r="CH24" s="3" t="b">
        <f t="shared" si="4"/>
        <v>1</v>
      </c>
      <c r="CI24" s="20" t="str">
        <f>GovRev!A24</f>
        <v>Coshocton County Career Center</v>
      </c>
      <c r="CJ24" s="20" t="b">
        <f t="shared" si="1"/>
        <v>1</v>
      </c>
      <c r="CL24" s="20" t="str">
        <f t="shared" si="5"/>
        <v>Coshocton</v>
      </c>
      <c r="CM24" s="20" t="b">
        <f t="shared" si="6"/>
        <v>1</v>
      </c>
      <c r="CN24" s="20" t="b">
        <f t="shared" si="7"/>
        <v>1</v>
      </c>
      <c r="CP24" s="16" t="b">
        <f>C24=GovRev!C24</f>
        <v>1</v>
      </c>
    </row>
    <row r="25" spans="1:94" s="16" customFormat="1">
      <c r="A25" s="3" t="s">
        <v>251</v>
      </c>
      <c r="C25" s="16" t="s">
        <v>160</v>
      </c>
      <c r="E25" s="16">
        <v>50922</v>
      </c>
      <c r="G25" s="3">
        <v>733396</v>
      </c>
      <c r="H25" s="3"/>
      <c r="I25" s="3">
        <v>0</v>
      </c>
      <c r="J25" s="3"/>
      <c r="K25" s="3">
        <v>5087027</v>
      </c>
      <c r="L25" s="3"/>
      <c r="M25" s="32">
        <v>1591285</v>
      </c>
      <c r="N25" s="3"/>
      <c r="O25" s="3">
        <v>0</v>
      </c>
      <c r="P25" s="3"/>
      <c r="Q25" s="3">
        <v>967718</v>
      </c>
      <c r="R25" s="3"/>
      <c r="S25" s="3">
        <v>1417239</v>
      </c>
      <c r="T25" s="3"/>
      <c r="U25" s="3">
        <v>54461</v>
      </c>
      <c r="V25" s="3"/>
      <c r="W25" s="3">
        <v>2298932</v>
      </c>
      <c r="X25" s="3"/>
      <c r="Y25" s="3">
        <v>916340</v>
      </c>
      <c r="Z25" s="3"/>
      <c r="AA25" s="3">
        <v>700510</v>
      </c>
      <c r="AB25" s="3"/>
      <c r="AC25" s="3">
        <v>1350232</v>
      </c>
      <c r="AD25" s="3"/>
      <c r="AE25" s="3" t="s">
        <v>251</v>
      </c>
      <c r="AG25" s="16" t="s">
        <v>160</v>
      </c>
      <c r="AI25" s="3">
        <v>22018</v>
      </c>
      <c r="AJ25" s="3"/>
      <c r="AK25" s="3">
        <v>296623</v>
      </c>
      <c r="AL25" s="3"/>
      <c r="AM25" s="3">
        <v>0</v>
      </c>
      <c r="AN25" s="3"/>
      <c r="AO25" s="3">
        <v>211008</v>
      </c>
      <c r="AP25" s="3"/>
      <c r="AQ25" s="3">
        <f>4735+263527+2065927</f>
        <v>2334189</v>
      </c>
      <c r="AR25" s="3"/>
      <c r="AS25" s="3">
        <v>59861</v>
      </c>
      <c r="AT25" s="3"/>
      <c r="AU25" s="3">
        <f>70300+288951</f>
        <v>359251</v>
      </c>
      <c r="AV25" s="3"/>
      <c r="AW25" s="3">
        <v>0</v>
      </c>
      <c r="AX25" s="3"/>
      <c r="AY25" s="3">
        <v>21989</v>
      </c>
      <c r="AZ25" s="3"/>
      <c r="BA25" s="3">
        <v>4553</v>
      </c>
      <c r="BB25" s="3"/>
      <c r="BC25" s="3">
        <v>0</v>
      </c>
      <c r="BD25" s="3"/>
      <c r="BE25" s="17">
        <f t="shared" si="8"/>
        <v>18426632</v>
      </c>
      <c r="BF25" s="3" t="s">
        <v>251</v>
      </c>
      <c r="BH25" s="16" t="s">
        <v>160</v>
      </c>
      <c r="BI25" s="3"/>
      <c r="BJ25" s="3">
        <v>350000</v>
      </c>
      <c r="BK25" s="3"/>
      <c r="BL25" s="3">
        <v>0</v>
      </c>
      <c r="BM25" s="3"/>
      <c r="BN25" s="3">
        <v>0</v>
      </c>
      <c r="BO25" s="3"/>
      <c r="BP25" s="3">
        <v>0</v>
      </c>
      <c r="BQ25" s="3"/>
      <c r="BR25" s="17">
        <f t="shared" si="0"/>
        <v>18776632</v>
      </c>
      <c r="BS25" s="3"/>
      <c r="BT25" s="17">
        <f>GovRev!AV25-BR25</f>
        <v>11794</v>
      </c>
      <c r="BU25" s="3"/>
      <c r="BV25" s="3">
        <v>14163362</v>
      </c>
      <c r="BW25" s="3"/>
      <c r="BX25" s="3">
        <v>-6965</v>
      </c>
      <c r="BY25" s="3"/>
      <c r="BZ25" s="17">
        <f t="shared" si="9"/>
        <v>14168191</v>
      </c>
      <c r="CA25" s="17"/>
      <c r="CB25" s="17">
        <f>-BZ25+GovBS!AE25</f>
        <v>0</v>
      </c>
      <c r="CE25" s="3"/>
      <c r="CF25" s="3" t="str">
        <f t="shared" si="2"/>
        <v>Cuyahoga Valley Career Center</v>
      </c>
      <c r="CG25" s="3" t="b">
        <f t="shared" si="3"/>
        <v>1</v>
      </c>
      <c r="CH25" s="3" t="b">
        <f t="shared" si="4"/>
        <v>1</v>
      </c>
      <c r="CI25" s="20" t="str">
        <f>GovRev!A25</f>
        <v>Cuyahoga Valley Career Center</v>
      </c>
      <c r="CJ25" s="20" t="b">
        <f t="shared" si="1"/>
        <v>1</v>
      </c>
      <c r="CL25" s="20" t="str">
        <f t="shared" si="5"/>
        <v>Cuyahoga</v>
      </c>
      <c r="CM25" s="20" t="b">
        <f t="shared" si="6"/>
        <v>1</v>
      </c>
      <c r="CN25" s="20" t="b">
        <f t="shared" si="7"/>
        <v>1</v>
      </c>
      <c r="CP25" s="16" t="b">
        <f>C25=GovRev!C25</f>
        <v>1</v>
      </c>
    </row>
    <row r="26" spans="1:94" s="16" customFormat="1">
      <c r="A26" s="3" t="s">
        <v>250</v>
      </c>
      <c r="C26" s="16" t="s">
        <v>162</v>
      </c>
      <c r="E26" s="16">
        <v>50989</v>
      </c>
      <c r="G26" s="3">
        <v>1103791</v>
      </c>
      <c r="H26" s="3"/>
      <c r="I26" s="3">
        <v>178439</v>
      </c>
      <c r="J26" s="3"/>
      <c r="K26" s="3">
        <v>5996010</v>
      </c>
      <c r="L26" s="3"/>
      <c r="M26" s="32">
        <v>902494</v>
      </c>
      <c r="N26" s="3"/>
      <c r="O26" s="3">
        <v>102890</v>
      </c>
      <c r="P26" s="3"/>
      <c r="Q26" s="3">
        <v>756741</v>
      </c>
      <c r="R26" s="3"/>
      <c r="S26" s="3">
        <v>1115127</v>
      </c>
      <c r="T26" s="3"/>
      <c r="U26" s="3">
        <v>98918</v>
      </c>
      <c r="V26" s="3"/>
      <c r="W26" s="3">
        <v>1385571</v>
      </c>
      <c r="X26" s="3"/>
      <c r="Y26" s="3">
        <v>715777</v>
      </c>
      <c r="Z26" s="3"/>
      <c r="AA26" s="3">
        <v>0</v>
      </c>
      <c r="AB26" s="3"/>
      <c r="AC26" s="3">
        <v>1358440</v>
      </c>
      <c r="AD26" s="3"/>
      <c r="AE26" s="3" t="s">
        <v>250</v>
      </c>
      <c r="AG26" s="16" t="s">
        <v>162</v>
      </c>
      <c r="AI26" s="3">
        <v>28999</v>
      </c>
      <c r="AJ26" s="3"/>
      <c r="AK26" s="3">
        <v>1055975</v>
      </c>
      <c r="AL26" s="3"/>
      <c r="AM26" s="3">
        <v>0</v>
      </c>
      <c r="AN26" s="3"/>
      <c r="AO26" s="3">
        <v>186267</v>
      </c>
      <c r="AP26" s="3"/>
      <c r="AQ26" s="3">
        <v>2747</v>
      </c>
      <c r="AR26" s="3"/>
      <c r="AS26" s="3">
        <v>15984</v>
      </c>
      <c r="AT26" s="3"/>
      <c r="AU26" s="3">
        <v>405039</v>
      </c>
      <c r="AV26" s="3"/>
      <c r="AW26" s="3">
        <v>0</v>
      </c>
      <c r="AX26" s="3"/>
      <c r="AY26" s="3">
        <v>33334</v>
      </c>
      <c r="AZ26" s="3"/>
      <c r="BA26" s="3">
        <v>0</v>
      </c>
      <c r="BB26" s="3"/>
      <c r="BC26" s="3">
        <v>0</v>
      </c>
      <c r="BD26" s="3"/>
      <c r="BE26" s="17">
        <f t="shared" si="8"/>
        <v>15442543</v>
      </c>
      <c r="BF26" s="3" t="s">
        <v>250</v>
      </c>
      <c r="BH26" s="16" t="s">
        <v>162</v>
      </c>
      <c r="BI26" s="3"/>
      <c r="BJ26" s="3">
        <v>757330</v>
      </c>
      <c r="BK26" s="3"/>
      <c r="BL26" s="3">
        <v>0</v>
      </c>
      <c r="BM26" s="3"/>
      <c r="BN26" s="3">
        <v>0</v>
      </c>
      <c r="BO26" s="3"/>
      <c r="BP26" s="3">
        <v>0</v>
      </c>
      <c r="BQ26" s="3"/>
      <c r="BR26" s="17">
        <f t="shared" si="0"/>
        <v>16199873</v>
      </c>
      <c r="BS26" s="3"/>
      <c r="BT26" s="17">
        <f>GovRev!AV26-BR26</f>
        <v>4760097</v>
      </c>
      <c r="BU26" s="3"/>
      <c r="BV26" s="3">
        <v>19668985</v>
      </c>
      <c r="BW26" s="3"/>
      <c r="BX26" s="3">
        <v>0</v>
      </c>
      <c r="BY26" s="3"/>
      <c r="BZ26" s="17">
        <f t="shared" si="9"/>
        <v>24429082</v>
      </c>
      <c r="CA26" s="17"/>
      <c r="CB26" s="17">
        <f>-BZ26+GovBS!AE26</f>
        <v>0</v>
      </c>
      <c r="CE26" s="3"/>
      <c r="CF26" s="3" t="str">
        <f t="shared" si="2"/>
        <v>Delaware Area Career Center</v>
      </c>
      <c r="CG26" s="3" t="b">
        <f t="shared" si="3"/>
        <v>1</v>
      </c>
      <c r="CH26" s="3" t="b">
        <f t="shared" si="4"/>
        <v>1</v>
      </c>
      <c r="CI26" s="20" t="str">
        <f>GovRev!A26</f>
        <v>Delaware Area Career Center</v>
      </c>
      <c r="CJ26" s="20" t="b">
        <f t="shared" si="1"/>
        <v>1</v>
      </c>
      <c r="CL26" s="20" t="str">
        <f t="shared" si="5"/>
        <v>Delaware</v>
      </c>
      <c r="CM26" s="20" t="b">
        <f t="shared" si="6"/>
        <v>1</v>
      </c>
      <c r="CN26" s="20" t="b">
        <f t="shared" si="7"/>
        <v>1</v>
      </c>
      <c r="CP26" s="16" t="b">
        <f>C26=GovRev!C26</f>
        <v>1</v>
      </c>
    </row>
    <row r="27" spans="1:94" s="16" customFormat="1">
      <c r="A27" s="3" t="s">
        <v>307</v>
      </c>
      <c r="C27" s="16" t="s">
        <v>165</v>
      </c>
      <c r="E27" s="16">
        <v>51003</v>
      </c>
      <c r="G27" s="3">
        <v>3561939</v>
      </c>
      <c r="H27" s="3"/>
      <c r="I27" s="3">
        <v>1362007</v>
      </c>
      <c r="J27" s="3"/>
      <c r="K27" s="3">
        <v>6947791</v>
      </c>
      <c r="L27" s="3"/>
      <c r="M27" s="32">
        <v>211736</v>
      </c>
      <c r="N27" s="3"/>
      <c r="O27" s="3">
        <v>692634</v>
      </c>
      <c r="P27" s="3"/>
      <c r="Q27" s="3">
        <v>860563</v>
      </c>
      <c r="R27" s="3"/>
      <c r="S27" s="3">
        <v>516410</v>
      </c>
      <c r="T27" s="3"/>
      <c r="U27" s="3">
        <v>31846</v>
      </c>
      <c r="V27" s="3"/>
      <c r="W27" s="3">
        <v>2720574</v>
      </c>
      <c r="X27" s="3"/>
      <c r="Y27" s="3">
        <v>827215</v>
      </c>
      <c r="Z27" s="3"/>
      <c r="AA27" s="3">
        <v>4992</v>
      </c>
      <c r="AB27" s="3"/>
      <c r="AC27" s="3">
        <v>1824123</v>
      </c>
      <c r="AD27" s="3"/>
      <c r="AE27" s="3" t="s">
        <v>307</v>
      </c>
      <c r="AG27" s="16" t="s">
        <v>165</v>
      </c>
      <c r="AI27" s="3">
        <v>66593</v>
      </c>
      <c r="AJ27" s="3"/>
      <c r="AK27" s="3">
        <v>537413</v>
      </c>
      <c r="AL27" s="3"/>
      <c r="AM27" s="3">
        <v>0</v>
      </c>
      <c r="AN27" s="3"/>
      <c r="AO27" s="3">
        <v>0</v>
      </c>
      <c r="AP27" s="3"/>
      <c r="AQ27" s="3">
        <v>392154</v>
      </c>
      <c r="AR27" s="3"/>
      <c r="AS27" s="3">
        <v>65055</v>
      </c>
      <c r="AT27" s="3"/>
      <c r="AU27" s="3">
        <v>2112758</v>
      </c>
      <c r="AV27" s="3"/>
      <c r="AW27" s="3">
        <v>0</v>
      </c>
      <c r="AX27" s="3"/>
      <c r="AY27" s="3">
        <v>150000</v>
      </c>
      <c r="AZ27" s="3"/>
      <c r="BA27" s="3">
        <v>14363</v>
      </c>
      <c r="BB27" s="3"/>
      <c r="BC27" s="3">
        <v>0</v>
      </c>
      <c r="BD27" s="3"/>
      <c r="BE27" s="17">
        <f t="shared" si="8"/>
        <v>22900166</v>
      </c>
      <c r="BF27" s="3" t="s">
        <v>307</v>
      </c>
      <c r="BH27" s="16" t="s">
        <v>165</v>
      </c>
      <c r="BI27" s="3"/>
      <c r="BJ27" s="3">
        <v>214363</v>
      </c>
      <c r="BK27" s="3"/>
      <c r="BL27" s="3">
        <v>0</v>
      </c>
      <c r="BM27" s="3"/>
      <c r="BN27" s="3">
        <v>0</v>
      </c>
      <c r="BO27" s="3"/>
      <c r="BP27" s="3">
        <v>0</v>
      </c>
      <c r="BQ27" s="3"/>
      <c r="BR27" s="17">
        <f t="shared" si="0"/>
        <v>23114529</v>
      </c>
      <c r="BS27" s="3"/>
      <c r="BT27" s="17">
        <f>GovRev!AV27-BR27</f>
        <v>-465375</v>
      </c>
      <c r="BU27" s="3"/>
      <c r="BV27" s="3">
        <v>19663245</v>
      </c>
      <c r="BW27" s="3"/>
      <c r="BX27" s="3">
        <v>0</v>
      </c>
      <c r="BY27" s="3"/>
      <c r="BZ27" s="17">
        <f t="shared" si="9"/>
        <v>19197870</v>
      </c>
      <c r="CA27" s="17"/>
      <c r="CB27" s="17">
        <f>-BZ27+GovBS!AE27</f>
        <v>0</v>
      </c>
      <c r="CE27" s="3"/>
      <c r="CF27" s="3" t="str">
        <f t="shared" si="2"/>
        <v>Eastland-Fairfield Career and Tech Center</v>
      </c>
      <c r="CG27" s="3" t="b">
        <f t="shared" si="3"/>
        <v>1</v>
      </c>
      <c r="CH27" s="3" t="b">
        <f t="shared" si="4"/>
        <v>1</v>
      </c>
      <c r="CI27" s="20" t="str">
        <f>GovRev!A27</f>
        <v>Eastland-Fairfield Career and Tech Center</v>
      </c>
      <c r="CJ27" s="20" t="b">
        <f t="shared" si="1"/>
        <v>1</v>
      </c>
      <c r="CL27" s="20" t="str">
        <f t="shared" si="5"/>
        <v>Franklin</v>
      </c>
      <c r="CM27" s="20" t="b">
        <f t="shared" si="6"/>
        <v>1</v>
      </c>
      <c r="CN27" s="20" t="b">
        <f t="shared" si="7"/>
        <v>1</v>
      </c>
      <c r="CP27" s="16" t="b">
        <f>C27=GovRev!C27</f>
        <v>1</v>
      </c>
    </row>
    <row r="28" spans="1:94" s="16" customFormat="1">
      <c r="A28" s="3" t="s">
        <v>252</v>
      </c>
      <c r="C28" s="16" t="s">
        <v>163</v>
      </c>
      <c r="E28" s="16">
        <v>51029</v>
      </c>
      <c r="G28" s="3">
        <v>918072</v>
      </c>
      <c r="H28" s="3"/>
      <c r="I28" s="3">
        <v>401136</v>
      </c>
      <c r="J28" s="3"/>
      <c r="K28" s="3">
        <v>5425215</v>
      </c>
      <c r="L28" s="3"/>
      <c r="M28" s="32">
        <v>3836855</v>
      </c>
      <c r="N28" s="3"/>
      <c r="O28" s="3">
        <v>0</v>
      </c>
      <c r="P28" s="3"/>
      <c r="Q28" s="3">
        <v>1046221</v>
      </c>
      <c r="R28" s="3"/>
      <c r="S28" s="3">
        <v>334461</v>
      </c>
      <c r="T28" s="3"/>
      <c r="U28" s="3">
        <v>62842</v>
      </c>
      <c r="V28" s="3"/>
      <c r="W28" s="3">
        <v>2108463</v>
      </c>
      <c r="X28" s="3"/>
      <c r="Y28" s="3">
        <v>412454</v>
      </c>
      <c r="Z28" s="3"/>
      <c r="AA28" s="3">
        <v>277340</v>
      </c>
      <c r="AB28" s="3"/>
      <c r="AC28" s="3">
        <v>1550069</v>
      </c>
      <c r="AD28" s="3"/>
      <c r="AE28" s="3" t="s">
        <v>252</v>
      </c>
      <c r="AG28" s="16" t="s">
        <v>163</v>
      </c>
      <c r="AI28" s="3">
        <v>26482</v>
      </c>
      <c r="AJ28" s="3"/>
      <c r="AK28" s="3">
        <v>501430</v>
      </c>
      <c r="AL28" s="3"/>
      <c r="AM28" s="3">
        <v>0</v>
      </c>
      <c r="AN28" s="3"/>
      <c r="AO28" s="3">
        <v>360351</v>
      </c>
      <c r="AP28" s="3"/>
      <c r="AQ28" s="3">
        <v>243643</v>
      </c>
      <c r="AR28" s="3"/>
      <c r="AS28" s="3">
        <v>0</v>
      </c>
      <c r="AT28" s="3"/>
      <c r="AU28" s="3">
        <v>1384792</v>
      </c>
      <c r="AV28" s="3"/>
      <c r="AW28" s="3">
        <v>0</v>
      </c>
      <c r="AX28" s="3"/>
      <c r="AY28" s="3">
        <v>234000</v>
      </c>
      <c r="AZ28" s="3"/>
      <c r="BA28" s="3">
        <v>154623</v>
      </c>
      <c r="BB28" s="3"/>
      <c r="BC28" s="3">
        <v>0</v>
      </c>
      <c r="BD28" s="3"/>
      <c r="BE28" s="17">
        <f t="shared" si="8"/>
        <v>19278449</v>
      </c>
      <c r="BF28" s="3" t="s">
        <v>252</v>
      </c>
      <c r="BH28" s="16" t="s">
        <v>163</v>
      </c>
      <c r="BI28" s="3"/>
      <c r="BJ28" s="3">
        <v>50000</v>
      </c>
      <c r="BK28" s="3"/>
      <c r="BL28" s="3">
        <v>0</v>
      </c>
      <c r="BM28" s="3"/>
      <c r="BN28" s="3">
        <v>0</v>
      </c>
      <c r="BO28" s="3"/>
      <c r="BP28" s="3">
        <v>0</v>
      </c>
      <c r="BQ28" s="3"/>
      <c r="BR28" s="17">
        <f t="shared" si="0"/>
        <v>19328449</v>
      </c>
      <c r="BS28" s="3"/>
      <c r="BT28" s="17">
        <f>GovRev!AV28-BR28</f>
        <v>-1565653</v>
      </c>
      <c r="BU28" s="3"/>
      <c r="BV28" s="3">
        <v>6939595</v>
      </c>
      <c r="BW28" s="3"/>
      <c r="BX28" s="3">
        <v>36163</v>
      </c>
      <c r="BY28" s="3"/>
      <c r="BZ28" s="17">
        <f t="shared" si="9"/>
        <v>5410105</v>
      </c>
      <c r="CA28" s="17"/>
      <c r="CB28" s="17">
        <f>-BZ28+GovBS!AE28</f>
        <v>0</v>
      </c>
      <c r="CE28" s="3" t="s">
        <v>383</v>
      </c>
      <c r="CF28" s="3" t="str">
        <f t="shared" si="2"/>
        <v>Ehove Career Center</v>
      </c>
      <c r="CG28" s="3" t="b">
        <f t="shared" si="3"/>
        <v>1</v>
      </c>
      <c r="CH28" s="3" t="b">
        <f t="shared" si="4"/>
        <v>1</v>
      </c>
      <c r="CI28" s="20" t="str">
        <f>GovRev!A28</f>
        <v>Ehove Career Center</v>
      </c>
      <c r="CJ28" s="20" t="b">
        <f t="shared" si="1"/>
        <v>1</v>
      </c>
      <c r="CL28" s="20" t="str">
        <f t="shared" si="5"/>
        <v>Erie</v>
      </c>
      <c r="CM28" s="20" t="b">
        <f t="shared" si="6"/>
        <v>1</v>
      </c>
      <c r="CN28" s="20" t="b">
        <f t="shared" si="7"/>
        <v>1</v>
      </c>
      <c r="CP28" s="16" t="b">
        <f>C28=GovRev!C28</f>
        <v>1</v>
      </c>
    </row>
    <row r="29" spans="1:94" s="16" customFormat="1">
      <c r="A29" s="3" t="s">
        <v>254</v>
      </c>
      <c r="C29" s="16" t="s">
        <v>215</v>
      </c>
      <c r="E29" s="16">
        <v>50963</v>
      </c>
      <c r="G29" s="3">
        <v>36333</v>
      </c>
      <c r="H29" s="3"/>
      <c r="I29" s="3">
        <v>520</v>
      </c>
      <c r="J29" s="3"/>
      <c r="K29" s="3">
        <v>9954655</v>
      </c>
      <c r="L29" s="3"/>
      <c r="M29" s="32">
        <v>1244074</v>
      </c>
      <c r="N29" s="3"/>
      <c r="O29" s="3">
        <v>0</v>
      </c>
      <c r="P29" s="3"/>
      <c r="Q29" s="3">
        <v>1512085</v>
      </c>
      <c r="R29" s="3"/>
      <c r="S29" s="3">
        <v>597559</v>
      </c>
      <c r="T29" s="3"/>
      <c r="U29" s="3">
        <v>49091</v>
      </c>
      <c r="V29" s="3"/>
      <c r="W29" s="3">
        <v>1361836</v>
      </c>
      <c r="X29" s="3"/>
      <c r="Y29" s="3">
        <v>494603</v>
      </c>
      <c r="Z29" s="3"/>
      <c r="AA29" s="3">
        <v>62467</v>
      </c>
      <c r="AB29" s="3"/>
      <c r="AC29" s="3">
        <v>1452130</v>
      </c>
      <c r="AD29" s="3"/>
      <c r="AE29" s="3" t="s">
        <v>254</v>
      </c>
      <c r="AG29" s="16" t="s">
        <v>215</v>
      </c>
      <c r="AI29" s="3">
        <v>23028</v>
      </c>
      <c r="AJ29" s="3"/>
      <c r="AK29" s="3">
        <v>481357</v>
      </c>
      <c r="AL29" s="3"/>
      <c r="AM29" s="3">
        <v>0</v>
      </c>
      <c r="AN29" s="3"/>
      <c r="AO29" s="3">
        <v>0</v>
      </c>
      <c r="AP29" s="3"/>
      <c r="AQ29" s="3">
        <v>506190</v>
      </c>
      <c r="AR29" s="3"/>
      <c r="AS29" s="3">
        <v>74191</v>
      </c>
      <c r="AT29" s="3"/>
      <c r="AU29" s="3">
        <v>468699</v>
      </c>
      <c r="AV29" s="3"/>
      <c r="AW29" s="3">
        <v>0</v>
      </c>
      <c r="AX29" s="3"/>
      <c r="AY29" s="3">
        <v>123861</v>
      </c>
      <c r="AZ29" s="3"/>
      <c r="BA29" s="3">
        <v>0</v>
      </c>
      <c r="BB29" s="3"/>
      <c r="BC29" s="3">
        <v>0</v>
      </c>
      <c r="BD29" s="3"/>
      <c r="BE29" s="17">
        <f t="shared" si="8"/>
        <v>18442679</v>
      </c>
      <c r="BF29" s="3" t="s">
        <v>254</v>
      </c>
      <c r="BH29" s="16" t="s">
        <v>215</v>
      </c>
      <c r="BI29" s="3"/>
      <c r="BJ29" s="3">
        <v>385485</v>
      </c>
      <c r="BK29" s="3"/>
      <c r="BL29" s="3">
        <v>0</v>
      </c>
      <c r="BM29" s="3"/>
      <c r="BN29" s="3">
        <v>0</v>
      </c>
      <c r="BO29" s="3"/>
      <c r="BP29" s="3">
        <v>0</v>
      </c>
      <c r="BQ29" s="3"/>
      <c r="BR29" s="17">
        <f t="shared" si="0"/>
        <v>18828164</v>
      </c>
      <c r="BS29" s="3"/>
      <c r="BT29" s="17">
        <f>GovRev!AV29-BR29</f>
        <v>-1396777</v>
      </c>
      <c r="BU29" s="3"/>
      <c r="BV29" s="3">
        <v>11850295</v>
      </c>
      <c r="BW29" s="3"/>
      <c r="BX29" s="3">
        <v>0</v>
      </c>
      <c r="BY29" s="3"/>
      <c r="BZ29" s="17">
        <f t="shared" si="9"/>
        <v>10453518</v>
      </c>
      <c r="CA29" s="17"/>
      <c r="CB29" s="17">
        <f>-BZ29+GovBS!AE29</f>
        <v>0</v>
      </c>
      <c r="CE29" s="3"/>
      <c r="CF29" s="3" t="str">
        <f t="shared" si="2"/>
        <v>Four County Career Center</v>
      </c>
      <c r="CG29" s="3" t="b">
        <f t="shared" si="3"/>
        <v>1</v>
      </c>
      <c r="CH29" s="3" t="b">
        <f t="shared" si="4"/>
        <v>1</v>
      </c>
      <c r="CI29" s="20" t="str">
        <f>GovRev!A29</f>
        <v>Four County Career Center</v>
      </c>
      <c r="CJ29" s="20" t="b">
        <f t="shared" si="1"/>
        <v>1</v>
      </c>
      <c r="CL29" s="20" t="str">
        <f t="shared" si="5"/>
        <v>Henry</v>
      </c>
      <c r="CM29" s="20" t="b">
        <f t="shared" si="6"/>
        <v>1</v>
      </c>
      <c r="CN29" s="20" t="b">
        <f t="shared" si="7"/>
        <v>1</v>
      </c>
      <c r="CP29" s="16" t="b">
        <f>C29=GovRev!C29</f>
        <v>1</v>
      </c>
    </row>
    <row r="30" spans="1:94" s="16" customFormat="1">
      <c r="A30" s="3" t="s">
        <v>214</v>
      </c>
      <c r="C30" s="16" t="s">
        <v>168</v>
      </c>
      <c r="E30" s="16">
        <v>62067</v>
      </c>
      <c r="G30" s="3">
        <v>34692</v>
      </c>
      <c r="H30" s="3"/>
      <c r="I30" s="3">
        <v>895536</v>
      </c>
      <c r="J30" s="3"/>
      <c r="K30" s="3">
        <v>4933949</v>
      </c>
      <c r="L30" s="3"/>
      <c r="M30" s="32">
        <v>772365</v>
      </c>
      <c r="N30" s="3"/>
      <c r="O30" s="3">
        <v>0</v>
      </c>
      <c r="P30" s="3"/>
      <c r="Q30" s="3">
        <v>434791</v>
      </c>
      <c r="R30" s="3"/>
      <c r="S30" s="3">
        <v>440752</v>
      </c>
      <c r="T30" s="3"/>
      <c r="U30" s="3">
        <v>72687</v>
      </c>
      <c r="V30" s="3"/>
      <c r="W30" s="3">
        <v>556027</v>
      </c>
      <c r="X30" s="3"/>
      <c r="Y30" s="3">
        <v>381129</v>
      </c>
      <c r="Z30" s="3"/>
      <c r="AA30" s="3">
        <v>56355</v>
      </c>
      <c r="AB30" s="3"/>
      <c r="AC30" s="3">
        <v>1187604</v>
      </c>
      <c r="AD30" s="3"/>
      <c r="AE30" s="3" t="s">
        <v>214</v>
      </c>
      <c r="AG30" s="16" t="s">
        <v>168</v>
      </c>
      <c r="AI30" s="3">
        <v>9514</v>
      </c>
      <c r="AJ30" s="3"/>
      <c r="AK30" s="3">
        <v>322300</v>
      </c>
      <c r="AL30" s="3"/>
      <c r="AM30" s="3">
        <v>0</v>
      </c>
      <c r="AN30" s="3"/>
      <c r="AO30" s="3">
        <v>192242</v>
      </c>
      <c r="AP30" s="3"/>
      <c r="AQ30" s="3">
        <v>0</v>
      </c>
      <c r="AR30" s="3"/>
      <c r="AS30" s="3">
        <v>11971</v>
      </c>
      <c r="AT30" s="3"/>
      <c r="AU30" s="3">
        <v>6628</v>
      </c>
      <c r="AV30" s="3"/>
      <c r="AW30" s="3">
        <v>0</v>
      </c>
      <c r="AX30" s="3"/>
      <c r="AY30" s="3">
        <v>204000</v>
      </c>
      <c r="AZ30" s="3"/>
      <c r="BA30" s="3">
        <v>61526</v>
      </c>
      <c r="BB30" s="3"/>
      <c r="BC30" s="3">
        <v>0</v>
      </c>
      <c r="BD30" s="3"/>
      <c r="BE30" s="17">
        <f t="shared" si="8"/>
        <v>10574068</v>
      </c>
      <c r="BF30" s="3" t="s">
        <v>214</v>
      </c>
      <c r="BH30" s="16" t="s">
        <v>168</v>
      </c>
      <c r="BI30" s="3"/>
      <c r="BJ30" s="3">
        <v>183691</v>
      </c>
      <c r="BK30" s="3"/>
      <c r="BL30" s="3">
        <v>0</v>
      </c>
      <c r="BM30" s="3"/>
      <c r="BN30" s="3">
        <v>0</v>
      </c>
      <c r="BO30" s="3"/>
      <c r="BP30" s="3">
        <v>0</v>
      </c>
      <c r="BQ30" s="3"/>
      <c r="BR30" s="17">
        <f t="shared" si="0"/>
        <v>10757759</v>
      </c>
      <c r="BS30" s="3"/>
      <c r="BT30" s="17">
        <f>GovRev!AV30-BR30</f>
        <v>-23027</v>
      </c>
      <c r="BU30" s="3"/>
      <c r="BV30" s="3">
        <v>6053078</v>
      </c>
      <c r="BW30" s="3"/>
      <c r="BX30" s="3">
        <v>0</v>
      </c>
      <c r="BY30" s="3"/>
      <c r="BZ30" s="17">
        <f t="shared" si="9"/>
        <v>6030051</v>
      </c>
      <c r="CA30" s="17"/>
      <c r="CB30" s="17">
        <f>-BZ30+GovBS!AE30</f>
        <v>0</v>
      </c>
      <c r="CE30" s="3"/>
      <c r="CF30" s="3" t="str">
        <f t="shared" si="2"/>
        <v>Gallia-Jackson-Vinton JVSD</v>
      </c>
      <c r="CG30" s="3" t="b">
        <f t="shared" si="3"/>
        <v>1</v>
      </c>
      <c r="CH30" s="3" t="b">
        <f t="shared" si="4"/>
        <v>1</v>
      </c>
      <c r="CI30" s="20" t="str">
        <f>GovRev!A30</f>
        <v>Gallia-Jackson-Vinton JVSD</v>
      </c>
      <c r="CJ30" s="20" t="b">
        <f t="shared" si="1"/>
        <v>1</v>
      </c>
      <c r="CL30" s="20" t="str">
        <f t="shared" si="5"/>
        <v>Gallia</v>
      </c>
      <c r="CM30" s="20" t="b">
        <f t="shared" si="6"/>
        <v>1</v>
      </c>
      <c r="CN30" s="20" t="b">
        <f t="shared" si="7"/>
        <v>1</v>
      </c>
      <c r="CP30" s="16" t="b">
        <f>C30=GovRev!C30</f>
        <v>1</v>
      </c>
    </row>
    <row r="31" spans="1:94" s="16" customFormat="1">
      <c r="A31" s="3" t="s">
        <v>327</v>
      </c>
      <c r="C31" s="16" t="s">
        <v>171</v>
      </c>
      <c r="E31" s="16">
        <v>51060</v>
      </c>
      <c r="G31" s="3">
        <v>8014961</v>
      </c>
      <c r="H31" s="3"/>
      <c r="I31" s="3">
        <v>0</v>
      </c>
      <c r="J31" s="3"/>
      <c r="K31" s="3">
        <v>22266819</v>
      </c>
      <c r="L31" s="3"/>
      <c r="M31" s="32">
        <v>7485513</v>
      </c>
      <c r="N31" s="3"/>
      <c r="O31" s="3">
        <v>0</v>
      </c>
      <c r="P31" s="3"/>
      <c r="Q31" s="3">
        <v>3502680</v>
      </c>
      <c r="R31" s="3"/>
      <c r="S31" s="3">
        <v>2848265</v>
      </c>
      <c r="T31" s="3"/>
      <c r="U31" s="3">
        <v>461719</v>
      </c>
      <c r="V31" s="3"/>
      <c r="W31" s="3">
        <v>4468029</v>
      </c>
      <c r="X31" s="3"/>
      <c r="Y31" s="3">
        <v>2206699</v>
      </c>
      <c r="Z31" s="3"/>
      <c r="AA31" s="3">
        <v>1177243</v>
      </c>
      <c r="AB31" s="3"/>
      <c r="AC31" s="3">
        <v>7125949</v>
      </c>
      <c r="AD31" s="3"/>
      <c r="AE31" s="3" t="s">
        <v>327</v>
      </c>
      <c r="AG31" s="16" t="s">
        <v>171</v>
      </c>
      <c r="AI31" s="3">
        <v>397964</v>
      </c>
      <c r="AJ31" s="3"/>
      <c r="AK31" s="3">
        <v>6291016</v>
      </c>
      <c r="AL31" s="3"/>
      <c r="AM31" s="3">
        <v>0</v>
      </c>
      <c r="AN31" s="3"/>
      <c r="AO31" s="3">
        <v>0</v>
      </c>
      <c r="AP31" s="3"/>
      <c r="AQ31" s="3">
        <v>1302675</v>
      </c>
      <c r="AR31" s="3"/>
      <c r="AS31" s="3">
        <v>0</v>
      </c>
      <c r="AT31" s="3"/>
      <c r="AU31" s="3">
        <v>12892461</v>
      </c>
      <c r="AV31" s="3"/>
      <c r="AW31" s="3">
        <v>0</v>
      </c>
      <c r="AX31" s="3"/>
      <c r="AY31" s="3">
        <v>750000</v>
      </c>
      <c r="AZ31" s="3"/>
      <c r="BA31" s="3">
        <v>601088</v>
      </c>
      <c r="BB31" s="3"/>
      <c r="BC31" s="3">
        <v>0</v>
      </c>
      <c r="BD31" s="3"/>
      <c r="BE31" s="17">
        <f>SUM(G31:BC31)</f>
        <v>81793081</v>
      </c>
      <c r="BF31" s="3" t="s">
        <v>327</v>
      </c>
      <c r="BH31" s="16" t="s">
        <v>171</v>
      </c>
      <c r="BI31" s="3"/>
      <c r="BJ31" s="3">
        <v>5264900</v>
      </c>
      <c r="BK31" s="3"/>
      <c r="BL31" s="3">
        <v>0</v>
      </c>
      <c r="BM31" s="3"/>
      <c r="BN31" s="3">
        <v>0</v>
      </c>
      <c r="BO31" s="3"/>
      <c r="BP31" s="3">
        <v>0</v>
      </c>
      <c r="BQ31" s="3"/>
      <c r="BR31" s="17">
        <f t="shared" si="0"/>
        <v>87057981</v>
      </c>
      <c r="BS31" s="3"/>
      <c r="BT31" s="17">
        <f>GovRev!AV31-BR31</f>
        <v>-11613406</v>
      </c>
      <c r="BU31" s="3"/>
      <c r="BV31" s="3">
        <v>54926624</v>
      </c>
      <c r="BW31" s="3"/>
      <c r="BX31" s="3">
        <v>0</v>
      </c>
      <c r="BY31" s="3"/>
      <c r="BZ31" s="17">
        <f t="shared" si="9"/>
        <v>43313218</v>
      </c>
      <c r="CA31" s="17"/>
      <c r="CB31" s="17">
        <f>-BZ31+GovBS!AE31</f>
        <v>0</v>
      </c>
      <c r="CE31" s="3" t="s">
        <v>383</v>
      </c>
      <c r="CF31" s="3" t="str">
        <f t="shared" si="2"/>
        <v>Great Oaks Inst of Technology &amp; Career Development</v>
      </c>
      <c r="CG31" s="3" t="b">
        <f t="shared" si="3"/>
        <v>1</v>
      </c>
      <c r="CH31" s="3" t="b">
        <f t="shared" si="4"/>
        <v>1</v>
      </c>
      <c r="CI31" s="20" t="str">
        <f>GovRev!A31</f>
        <v>Great Oaks Inst of Technology &amp; Career Development</v>
      </c>
      <c r="CJ31" s="20" t="b">
        <f t="shared" si="1"/>
        <v>1</v>
      </c>
      <c r="CL31" s="20" t="str">
        <f t="shared" si="5"/>
        <v>Hamilton</v>
      </c>
      <c r="CM31" s="20" t="b">
        <f t="shared" si="6"/>
        <v>1</v>
      </c>
      <c r="CN31" s="20" t="b">
        <f t="shared" si="7"/>
        <v>1</v>
      </c>
      <c r="CP31" s="16" t="b">
        <f>C31=GovRev!C31</f>
        <v>1</v>
      </c>
    </row>
    <row r="32" spans="1:94" s="16" customFormat="1">
      <c r="A32" s="3" t="s">
        <v>386</v>
      </c>
      <c r="C32" s="16" t="s">
        <v>170</v>
      </c>
      <c r="E32" s="16">
        <v>51045</v>
      </c>
      <c r="G32" s="3">
        <v>845847</v>
      </c>
      <c r="H32" s="3"/>
      <c r="I32" s="3">
        <v>0</v>
      </c>
      <c r="J32" s="3"/>
      <c r="K32" s="3">
        <v>7798886</v>
      </c>
      <c r="L32" s="3"/>
      <c r="M32" s="32">
        <v>0</v>
      </c>
      <c r="N32" s="3"/>
      <c r="O32" s="3">
        <v>0</v>
      </c>
      <c r="P32" s="3"/>
      <c r="Q32" s="3">
        <v>1023417</v>
      </c>
      <c r="R32" s="3"/>
      <c r="S32" s="3">
        <v>1911280</v>
      </c>
      <c r="T32" s="3"/>
      <c r="U32" s="3">
        <v>164700</v>
      </c>
      <c r="V32" s="3"/>
      <c r="W32" s="3">
        <v>794514</v>
      </c>
      <c r="X32" s="3"/>
      <c r="Y32" s="3">
        <v>528268</v>
      </c>
      <c r="Z32" s="3"/>
      <c r="AA32" s="3">
        <v>0</v>
      </c>
      <c r="AB32" s="3"/>
      <c r="AC32" s="3">
        <v>1239437</v>
      </c>
      <c r="AD32" s="3"/>
      <c r="AE32" s="3" t="s">
        <v>386</v>
      </c>
      <c r="AG32" s="16" t="s">
        <v>170</v>
      </c>
      <c r="AI32" s="3">
        <v>0</v>
      </c>
      <c r="AJ32" s="3"/>
      <c r="AK32" s="3">
        <v>236616</v>
      </c>
      <c r="AL32" s="3"/>
      <c r="AM32" s="3">
        <v>0</v>
      </c>
      <c r="AN32" s="3"/>
      <c r="AO32" s="3">
        <v>0</v>
      </c>
      <c r="AP32" s="3"/>
      <c r="AQ32" s="3">
        <v>261170</v>
      </c>
      <c r="AR32" s="3"/>
      <c r="AS32" s="3">
        <v>15052</v>
      </c>
      <c r="AT32" s="3"/>
      <c r="AU32" s="3">
        <v>6544832</v>
      </c>
      <c r="AV32" s="3"/>
      <c r="AW32" s="3">
        <v>0</v>
      </c>
      <c r="AX32" s="3"/>
      <c r="AY32" s="3">
        <v>33333</v>
      </c>
      <c r="AZ32" s="3"/>
      <c r="BA32" s="3">
        <v>0</v>
      </c>
      <c r="BB32" s="3"/>
      <c r="BC32" s="3">
        <v>0</v>
      </c>
      <c r="BD32" s="3"/>
      <c r="BE32" s="17">
        <f t="shared" si="8"/>
        <v>21397352</v>
      </c>
      <c r="BF32" s="3" t="s">
        <v>386</v>
      </c>
      <c r="BH32" s="16" t="s">
        <v>170</v>
      </c>
      <c r="BI32" s="3"/>
      <c r="BJ32" s="3">
        <v>402632</v>
      </c>
      <c r="BK32" s="3"/>
      <c r="BL32" s="3">
        <v>0</v>
      </c>
      <c r="BM32" s="3"/>
      <c r="BN32" s="3">
        <v>0</v>
      </c>
      <c r="BO32" s="3"/>
      <c r="BP32" s="3">
        <v>0</v>
      </c>
      <c r="BQ32" s="3"/>
      <c r="BR32" s="17">
        <f t="shared" si="0"/>
        <v>21799984</v>
      </c>
      <c r="BS32" s="3"/>
      <c r="BT32" s="17">
        <f>GovRev!AV32-BR32</f>
        <v>-3737962</v>
      </c>
      <c r="BU32" s="3"/>
      <c r="BV32" s="3">
        <v>9145431</v>
      </c>
      <c r="BW32" s="3"/>
      <c r="BX32" s="3">
        <v>0</v>
      </c>
      <c r="BY32" s="3"/>
      <c r="BZ32" s="17">
        <f t="shared" si="9"/>
        <v>5407469</v>
      </c>
      <c r="CA32" s="17"/>
      <c r="CB32" s="17">
        <f>-BZ32+GovBS!AE32</f>
        <v>0</v>
      </c>
      <c r="CE32" s="3"/>
      <c r="CF32" s="3" t="str">
        <f t="shared" si="2"/>
        <v>Greene County VSD</v>
      </c>
      <c r="CG32" s="3" t="b">
        <f t="shared" si="3"/>
        <v>1</v>
      </c>
      <c r="CH32" s="3" t="b">
        <f t="shared" si="4"/>
        <v>1</v>
      </c>
      <c r="CI32" s="20" t="str">
        <f>GovRev!A32</f>
        <v>Greene County VSD</v>
      </c>
      <c r="CJ32" s="20" t="b">
        <f t="shared" si="1"/>
        <v>1</v>
      </c>
      <c r="CL32" s="20" t="str">
        <f t="shared" si="5"/>
        <v>Greene</v>
      </c>
      <c r="CM32" s="20" t="b">
        <f t="shared" si="6"/>
        <v>1</v>
      </c>
      <c r="CN32" s="20" t="b">
        <f t="shared" si="7"/>
        <v>1</v>
      </c>
      <c r="CP32" s="16" t="b">
        <f>C32=GovRev!C32</f>
        <v>1</v>
      </c>
    </row>
    <row r="33" spans="1:94" s="16" customFormat="1">
      <c r="A33" s="3" t="s">
        <v>216</v>
      </c>
      <c r="C33" s="16" t="s">
        <v>173</v>
      </c>
      <c r="E33" s="16">
        <v>51128</v>
      </c>
      <c r="G33" s="3">
        <v>346208</v>
      </c>
      <c r="H33" s="3"/>
      <c r="I33" s="3">
        <v>228503</v>
      </c>
      <c r="J33" s="3"/>
      <c r="K33" s="3">
        <v>2775900</v>
      </c>
      <c r="L33" s="3"/>
      <c r="M33" s="32">
        <v>3619</v>
      </c>
      <c r="N33" s="3"/>
      <c r="O33" s="3">
        <v>13152</v>
      </c>
      <c r="P33" s="3"/>
      <c r="Q33" s="3">
        <v>196999</v>
      </c>
      <c r="R33" s="3"/>
      <c r="S33" s="3">
        <v>305510</v>
      </c>
      <c r="T33" s="3"/>
      <c r="U33" s="3">
        <v>35312</v>
      </c>
      <c r="V33" s="3"/>
      <c r="W33" s="3">
        <v>221969</v>
      </c>
      <c r="X33" s="3"/>
      <c r="Y33" s="3">
        <v>231128</v>
      </c>
      <c r="Z33" s="3"/>
      <c r="AA33" s="3">
        <v>0</v>
      </c>
      <c r="AB33" s="3"/>
      <c r="AC33" s="3">
        <v>729676</v>
      </c>
      <c r="AD33" s="3"/>
      <c r="AE33" s="3" t="s">
        <v>216</v>
      </c>
      <c r="AG33" s="16" t="s">
        <v>173</v>
      </c>
      <c r="AI33" s="3">
        <v>0</v>
      </c>
      <c r="AJ33" s="3"/>
      <c r="AK33" s="3">
        <v>20218</v>
      </c>
      <c r="AL33" s="3"/>
      <c r="AM33" s="3">
        <v>0</v>
      </c>
      <c r="AN33" s="3"/>
      <c r="AO33" s="3">
        <v>182128</v>
      </c>
      <c r="AP33" s="3"/>
      <c r="AQ33" s="3">
        <v>0</v>
      </c>
      <c r="AR33" s="3"/>
      <c r="AS33" s="3">
        <v>0</v>
      </c>
      <c r="AT33" s="3"/>
      <c r="AU33" s="3">
        <v>228879</v>
      </c>
      <c r="AV33" s="3"/>
      <c r="AW33" s="3">
        <v>0</v>
      </c>
      <c r="AX33" s="3"/>
      <c r="AY33" s="3">
        <v>72534</v>
      </c>
      <c r="AZ33" s="3"/>
      <c r="BA33" s="3">
        <v>24357</v>
      </c>
      <c r="BB33" s="3"/>
      <c r="BC33" s="3">
        <v>0</v>
      </c>
      <c r="BD33" s="3"/>
      <c r="BE33" s="17">
        <f t="shared" si="8"/>
        <v>5616092</v>
      </c>
      <c r="BF33" s="3" t="s">
        <v>216</v>
      </c>
      <c r="BH33" s="16" t="s">
        <v>173</v>
      </c>
      <c r="BI33" s="3"/>
      <c r="BJ33" s="3">
        <v>95325</v>
      </c>
      <c r="BK33" s="3"/>
      <c r="BL33" s="3">
        <v>0</v>
      </c>
      <c r="BM33" s="3"/>
      <c r="BN33" s="3">
        <v>0</v>
      </c>
      <c r="BO33" s="3"/>
      <c r="BP33" s="3">
        <v>0</v>
      </c>
      <c r="BQ33" s="3"/>
      <c r="BR33" s="17">
        <f t="shared" si="0"/>
        <v>5711417</v>
      </c>
      <c r="BS33" s="3"/>
      <c r="BT33" s="17">
        <f>GovRev!AV33-BR33</f>
        <v>-286453</v>
      </c>
      <c r="BU33" s="3"/>
      <c r="BV33" s="3">
        <v>173329</v>
      </c>
      <c r="BW33" s="3"/>
      <c r="BX33" s="3">
        <v>0</v>
      </c>
      <c r="BY33" s="3"/>
      <c r="BZ33" s="17">
        <f t="shared" si="9"/>
        <v>-113124</v>
      </c>
      <c r="CA33" s="17"/>
      <c r="CB33" s="17">
        <f>-BZ33+GovBS!AE33</f>
        <v>0</v>
      </c>
      <c r="CE33" s="3"/>
      <c r="CF33" s="3" t="str">
        <f t="shared" si="2"/>
        <v>Jefferson County JVSD</v>
      </c>
      <c r="CG33" s="3" t="b">
        <f t="shared" si="3"/>
        <v>1</v>
      </c>
      <c r="CH33" s="3" t="b">
        <f t="shared" si="4"/>
        <v>1</v>
      </c>
      <c r="CI33" s="20" t="str">
        <f>GovRev!A33</f>
        <v>Jefferson County JVSD</v>
      </c>
      <c r="CJ33" s="20" t="b">
        <f t="shared" si="1"/>
        <v>1</v>
      </c>
      <c r="CL33" s="20" t="str">
        <f t="shared" si="5"/>
        <v>Jefferson</v>
      </c>
      <c r="CM33" s="20" t="b">
        <f t="shared" si="6"/>
        <v>1</v>
      </c>
      <c r="CN33" s="20" t="b">
        <f t="shared" si="7"/>
        <v>1</v>
      </c>
      <c r="CP33" s="16" t="b">
        <f>C33=GovRev!C33</f>
        <v>1</v>
      </c>
    </row>
    <row r="34" spans="1:94" s="16" customFormat="1">
      <c r="A34" s="3" t="s">
        <v>255</v>
      </c>
      <c r="C34" s="16" t="s">
        <v>174</v>
      </c>
      <c r="E34" s="16">
        <v>51144</v>
      </c>
      <c r="G34" s="3">
        <v>167809</v>
      </c>
      <c r="H34" s="3"/>
      <c r="I34" s="3">
        <v>0</v>
      </c>
      <c r="J34" s="3"/>
      <c r="K34" s="3">
        <v>5246949</v>
      </c>
      <c r="L34" s="3"/>
      <c r="M34" s="32">
        <v>1397345</v>
      </c>
      <c r="N34" s="3"/>
      <c r="O34" s="3">
        <v>0</v>
      </c>
      <c r="P34" s="3"/>
      <c r="Q34" s="3">
        <v>611257</v>
      </c>
      <c r="R34" s="3"/>
      <c r="S34" s="3">
        <v>763501</v>
      </c>
      <c r="T34" s="3"/>
      <c r="U34" s="3">
        <v>17293</v>
      </c>
      <c r="V34" s="3"/>
      <c r="W34" s="3">
        <v>1068103</v>
      </c>
      <c r="X34" s="3"/>
      <c r="Y34" s="3">
        <v>412794</v>
      </c>
      <c r="Z34" s="3"/>
      <c r="AA34" s="3">
        <v>49987</v>
      </c>
      <c r="AB34" s="3"/>
      <c r="AC34" s="3">
        <v>1278821</v>
      </c>
      <c r="AD34" s="3"/>
      <c r="AE34" s="3" t="s">
        <v>255</v>
      </c>
      <c r="AG34" s="16" t="s">
        <v>174</v>
      </c>
      <c r="AI34" s="3">
        <v>0</v>
      </c>
      <c r="AJ34" s="3"/>
      <c r="AK34" s="3">
        <v>124589</v>
      </c>
      <c r="AL34" s="3"/>
      <c r="AM34" s="3">
        <v>0</v>
      </c>
      <c r="AN34" s="3"/>
      <c r="AO34" s="3">
        <v>0</v>
      </c>
      <c r="AP34" s="3"/>
      <c r="AQ34" s="3">
        <v>200103</v>
      </c>
      <c r="AR34" s="3"/>
      <c r="AS34" s="3">
        <v>46806</v>
      </c>
      <c r="AT34" s="3"/>
      <c r="AU34" s="3">
        <v>205103</v>
      </c>
      <c r="AV34" s="3"/>
      <c r="AW34" s="3">
        <v>0</v>
      </c>
      <c r="AX34" s="3"/>
      <c r="AY34" s="3">
        <v>224848</v>
      </c>
      <c r="AZ34" s="3"/>
      <c r="BA34" s="3">
        <v>217495</v>
      </c>
      <c r="BB34" s="3"/>
      <c r="BC34" s="3">
        <v>0</v>
      </c>
      <c r="BD34" s="3"/>
      <c r="BE34" s="17">
        <f t="shared" si="8"/>
        <v>12032803</v>
      </c>
      <c r="BF34" s="3" t="s">
        <v>255</v>
      </c>
      <c r="BH34" s="16" t="s">
        <v>174</v>
      </c>
      <c r="BI34" s="3"/>
      <c r="BJ34" s="3">
        <v>194091</v>
      </c>
      <c r="BK34" s="3"/>
      <c r="BL34" s="3">
        <v>0</v>
      </c>
      <c r="BM34" s="3"/>
      <c r="BN34" s="3">
        <v>0</v>
      </c>
      <c r="BO34" s="3"/>
      <c r="BP34" s="3">
        <v>0</v>
      </c>
      <c r="BQ34" s="3"/>
      <c r="BR34" s="17">
        <f t="shared" si="0"/>
        <v>12226894</v>
      </c>
      <c r="BS34" s="3"/>
      <c r="BT34" s="17">
        <f>GovRev!AV34-BR34</f>
        <v>-88749</v>
      </c>
      <c r="BU34" s="3"/>
      <c r="BV34" s="3">
        <v>13430164</v>
      </c>
      <c r="BW34" s="3"/>
      <c r="BX34" s="3">
        <v>0</v>
      </c>
      <c r="BY34" s="3"/>
      <c r="BZ34" s="17">
        <f t="shared" si="9"/>
        <v>13341415</v>
      </c>
      <c r="CA34" s="17"/>
      <c r="CB34" s="17">
        <f>-BZ34+GovBS!AE34</f>
        <v>0</v>
      </c>
      <c r="CE34" s="3"/>
      <c r="CF34" s="3" t="str">
        <f t="shared" si="2"/>
        <v>Knox County Career Center</v>
      </c>
      <c r="CG34" s="3" t="b">
        <f t="shared" si="3"/>
        <v>1</v>
      </c>
      <c r="CH34" s="3" t="b">
        <f t="shared" si="4"/>
        <v>1</v>
      </c>
      <c r="CI34" s="20" t="str">
        <f>GovRev!A34</f>
        <v>Knox County Career Center</v>
      </c>
      <c r="CJ34" s="20" t="b">
        <f t="shared" si="1"/>
        <v>1</v>
      </c>
      <c r="CL34" s="20" t="str">
        <f t="shared" si="5"/>
        <v>Knox</v>
      </c>
      <c r="CM34" s="20" t="b">
        <f t="shared" si="6"/>
        <v>1</v>
      </c>
      <c r="CN34" s="20" t="b">
        <f t="shared" si="7"/>
        <v>1</v>
      </c>
      <c r="CP34" s="16" t="b">
        <f>C34=GovRev!C34</f>
        <v>1</v>
      </c>
    </row>
    <row r="35" spans="1:94" s="16" customFormat="1">
      <c r="A35" s="3" t="s">
        <v>217</v>
      </c>
      <c r="C35" s="16" t="s">
        <v>175</v>
      </c>
      <c r="E35" s="16">
        <v>51185</v>
      </c>
      <c r="G35" s="3">
        <v>185668</v>
      </c>
      <c r="H35" s="3"/>
      <c r="I35" s="3">
        <v>0</v>
      </c>
      <c r="J35" s="3"/>
      <c r="K35" s="3">
        <v>5941968</v>
      </c>
      <c r="L35" s="3"/>
      <c r="M35" s="32">
        <v>2328648</v>
      </c>
      <c r="N35" s="3"/>
      <c r="O35" s="3">
        <v>0</v>
      </c>
      <c r="P35" s="3"/>
      <c r="Q35" s="3">
        <v>422735</v>
      </c>
      <c r="R35" s="3"/>
      <c r="S35" s="3">
        <v>107503</v>
      </c>
      <c r="T35" s="3"/>
      <c r="U35" s="3">
        <v>61160</v>
      </c>
      <c r="V35" s="3"/>
      <c r="W35" s="3">
        <v>999732</v>
      </c>
      <c r="X35" s="3"/>
      <c r="Y35" s="3">
        <v>424788</v>
      </c>
      <c r="Z35" s="3"/>
      <c r="AA35" s="3">
        <v>0</v>
      </c>
      <c r="AB35" s="3"/>
      <c r="AC35" s="3">
        <v>821282</v>
      </c>
      <c r="AD35" s="3"/>
      <c r="AE35" s="3" t="s">
        <v>217</v>
      </c>
      <c r="AG35" s="16" t="s">
        <v>175</v>
      </c>
      <c r="AH35" s="3"/>
      <c r="AI35" s="3">
        <v>0</v>
      </c>
      <c r="AJ35" s="3"/>
      <c r="AK35" s="3">
        <v>285104</v>
      </c>
      <c r="AL35" s="3"/>
      <c r="AM35" s="3">
        <v>0</v>
      </c>
      <c r="AN35" s="3"/>
      <c r="AO35" s="3">
        <v>269440</v>
      </c>
      <c r="AP35" s="3"/>
      <c r="AQ35" s="3">
        <v>1575058</v>
      </c>
      <c r="AR35" s="3"/>
      <c r="AS35" s="3">
        <v>41836</v>
      </c>
      <c r="AT35" s="3"/>
      <c r="AU35" s="3">
        <v>576979</v>
      </c>
      <c r="AV35" s="3"/>
      <c r="AW35" s="3">
        <v>0</v>
      </c>
      <c r="AX35" s="3"/>
      <c r="AY35" s="3">
        <v>230000</v>
      </c>
      <c r="AZ35" s="3"/>
      <c r="BA35" s="3">
        <v>475168</v>
      </c>
      <c r="BB35" s="3"/>
      <c r="BC35" s="3">
        <v>0</v>
      </c>
      <c r="BD35" s="3"/>
      <c r="BE35" s="17">
        <f t="shared" si="8"/>
        <v>14747069</v>
      </c>
      <c r="BF35" s="3" t="s">
        <v>217</v>
      </c>
      <c r="BH35" s="16" t="s">
        <v>175</v>
      </c>
      <c r="BI35" s="3"/>
      <c r="BJ35" s="3">
        <v>571230</v>
      </c>
      <c r="BK35" s="3"/>
      <c r="BL35" s="3">
        <v>0</v>
      </c>
      <c r="BM35" s="3"/>
      <c r="BN35" s="3">
        <v>0</v>
      </c>
      <c r="BO35" s="3"/>
      <c r="BP35" s="3">
        <v>0</v>
      </c>
      <c r="BQ35" s="3"/>
      <c r="BR35" s="17">
        <f t="shared" si="0"/>
        <v>15318299</v>
      </c>
      <c r="BS35" s="3"/>
      <c r="BT35" s="17">
        <f>GovRev!AV35-BR35</f>
        <v>-672202</v>
      </c>
      <c r="BU35" s="3"/>
      <c r="BV35" s="3">
        <v>13351067</v>
      </c>
      <c r="BW35" s="3"/>
      <c r="BX35" s="3">
        <v>0</v>
      </c>
      <c r="BY35" s="3"/>
      <c r="BZ35" s="17">
        <f t="shared" si="9"/>
        <v>12678865</v>
      </c>
      <c r="CA35" s="17"/>
      <c r="CB35" s="17">
        <f>-BZ35+GovBS!AE35</f>
        <v>0</v>
      </c>
      <c r="CE35" s="3"/>
      <c r="CF35" s="3" t="str">
        <f t="shared" si="2"/>
        <v>Lawrence County JVSD</v>
      </c>
      <c r="CG35" s="3" t="b">
        <f t="shared" si="3"/>
        <v>1</v>
      </c>
      <c r="CH35" s="3" t="b">
        <f t="shared" si="4"/>
        <v>1</v>
      </c>
      <c r="CI35" s="20" t="str">
        <f>GovRev!A35</f>
        <v>Lawrence County JVSD</v>
      </c>
      <c r="CJ35" s="20" t="b">
        <f t="shared" si="1"/>
        <v>1</v>
      </c>
      <c r="CL35" s="20" t="str">
        <f t="shared" si="5"/>
        <v>Lawrence</v>
      </c>
      <c r="CM35" s="20" t="b">
        <f t="shared" si="6"/>
        <v>1</v>
      </c>
      <c r="CN35" s="20" t="b">
        <f t="shared" si="7"/>
        <v>1</v>
      </c>
      <c r="CP35" s="16" t="b">
        <f>C35=GovRev!C35</f>
        <v>1</v>
      </c>
    </row>
    <row r="36" spans="1:94" s="66" customFormat="1" hidden="1">
      <c r="A36" s="65" t="s">
        <v>308</v>
      </c>
      <c r="C36" s="66" t="s">
        <v>176</v>
      </c>
      <c r="E36" s="66">
        <v>47977</v>
      </c>
      <c r="G36" s="65"/>
      <c r="H36" s="65"/>
      <c r="I36" s="65"/>
      <c r="J36" s="65"/>
      <c r="K36" s="65"/>
      <c r="L36" s="65"/>
      <c r="M36" s="80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 t="s">
        <v>308</v>
      </c>
      <c r="AG36" s="66" t="s">
        <v>176</v>
      </c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7">
        <f t="shared" si="8"/>
        <v>0</v>
      </c>
      <c r="BF36" s="65" t="s">
        <v>308</v>
      </c>
      <c r="BH36" s="66" t="s">
        <v>176</v>
      </c>
      <c r="BI36" s="65"/>
      <c r="BJ36" s="65"/>
      <c r="BK36" s="65"/>
      <c r="BL36" s="65"/>
      <c r="BM36" s="65"/>
      <c r="BN36" s="65"/>
      <c r="BO36" s="65"/>
      <c r="BP36" s="65"/>
      <c r="BQ36" s="65"/>
      <c r="BR36" s="67">
        <f t="shared" si="0"/>
        <v>0</v>
      </c>
      <c r="BS36" s="65"/>
      <c r="BT36" s="67">
        <f>GovRev!AV36-BR36</f>
        <v>0</v>
      </c>
      <c r="BU36" s="65"/>
      <c r="BV36" s="65"/>
      <c r="BW36" s="65"/>
      <c r="BX36" s="65">
        <v>0</v>
      </c>
      <c r="BY36" s="65"/>
      <c r="BZ36" s="67">
        <f t="shared" si="9"/>
        <v>0</v>
      </c>
      <c r="CA36" s="67"/>
      <c r="CB36" s="67">
        <f>-BZ36+GovBS!AE36</f>
        <v>0</v>
      </c>
      <c r="CE36" s="65" t="s">
        <v>389</v>
      </c>
      <c r="CF36" s="65" t="str">
        <f t="shared" si="2"/>
        <v>Licking Co Career &amp; Tech Center</v>
      </c>
      <c r="CG36" s="65" t="b">
        <f t="shared" si="3"/>
        <v>1</v>
      </c>
      <c r="CH36" s="65" t="b">
        <f t="shared" si="4"/>
        <v>1</v>
      </c>
      <c r="CI36" s="68" t="str">
        <f>GovRev!A36</f>
        <v>Licking Co Career &amp; Tech Center</v>
      </c>
      <c r="CJ36" s="68" t="b">
        <f t="shared" si="1"/>
        <v>1</v>
      </c>
      <c r="CL36" s="68" t="str">
        <f t="shared" si="5"/>
        <v>Licking</v>
      </c>
      <c r="CM36" s="68" t="b">
        <f t="shared" si="6"/>
        <v>1</v>
      </c>
      <c r="CN36" s="68" t="b">
        <f t="shared" si="7"/>
        <v>1</v>
      </c>
      <c r="CP36" s="66" t="b">
        <f>C36=GovRev!C36</f>
        <v>1</v>
      </c>
    </row>
    <row r="37" spans="1:94" s="16" customFormat="1">
      <c r="A37" s="3" t="s">
        <v>219</v>
      </c>
      <c r="C37" s="16" t="s">
        <v>145</v>
      </c>
      <c r="E37" s="16">
        <v>51227</v>
      </c>
      <c r="G37" s="3">
        <v>2141875</v>
      </c>
      <c r="H37" s="3"/>
      <c r="I37" s="3">
        <v>2554</v>
      </c>
      <c r="J37" s="3"/>
      <c r="K37" s="3">
        <v>10104987</v>
      </c>
      <c r="L37" s="3"/>
      <c r="M37" s="32">
        <v>1909144</v>
      </c>
      <c r="N37" s="3"/>
      <c r="O37" s="3">
        <v>0</v>
      </c>
      <c r="P37" s="3"/>
      <c r="Q37" s="3">
        <v>1778650</v>
      </c>
      <c r="R37" s="3"/>
      <c r="S37" s="3">
        <v>1934314</v>
      </c>
      <c r="T37" s="3"/>
      <c r="U37" s="3">
        <v>56008</v>
      </c>
      <c r="V37" s="3"/>
      <c r="W37" s="3">
        <v>1882882</v>
      </c>
      <c r="X37" s="3"/>
      <c r="Y37" s="3">
        <v>767825</v>
      </c>
      <c r="Z37" s="3"/>
      <c r="AA37" s="3">
        <v>168120</v>
      </c>
      <c r="AB37" s="3"/>
      <c r="AC37" s="3">
        <v>4359684</v>
      </c>
      <c r="AD37" s="3"/>
      <c r="AE37" s="3" t="s">
        <v>219</v>
      </c>
      <c r="AG37" s="16" t="s">
        <v>145</v>
      </c>
      <c r="AI37" s="3">
        <v>67047</v>
      </c>
      <c r="AJ37" s="3"/>
      <c r="AK37" s="3">
        <v>1031756</v>
      </c>
      <c r="AL37" s="3"/>
      <c r="AM37" s="3">
        <v>0</v>
      </c>
      <c r="AN37" s="3"/>
      <c r="AO37" s="3">
        <v>144491</v>
      </c>
      <c r="AP37" s="3"/>
      <c r="AQ37" s="3">
        <v>354063</v>
      </c>
      <c r="AR37" s="3"/>
      <c r="AS37" s="3">
        <v>343543</v>
      </c>
      <c r="AT37" s="3"/>
      <c r="AU37" s="3">
        <v>10899</v>
      </c>
      <c r="AV37" s="3"/>
      <c r="AW37" s="3">
        <v>0</v>
      </c>
      <c r="AX37" s="3"/>
      <c r="AY37" s="3">
        <v>0</v>
      </c>
      <c r="AZ37" s="3"/>
      <c r="BA37" s="3">
        <v>0</v>
      </c>
      <c r="BB37" s="3"/>
      <c r="BC37" s="3">
        <v>0</v>
      </c>
      <c r="BD37" s="3"/>
      <c r="BE37" s="17">
        <f t="shared" si="8"/>
        <v>27057842</v>
      </c>
      <c r="BF37" s="3" t="s">
        <v>219</v>
      </c>
      <c r="BH37" s="16" t="s">
        <v>145</v>
      </c>
      <c r="BI37" s="3"/>
      <c r="BJ37" s="3">
        <v>900000</v>
      </c>
      <c r="BK37" s="3"/>
      <c r="BL37" s="3">
        <v>0</v>
      </c>
      <c r="BM37" s="3"/>
      <c r="BN37" s="3">
        <v>0</v>
      </c>
      <c r="BO37" s="3"/>
      <c r="BP37" s="3">
        <v>50000</v>
      </c>
      <c r="BQ37" s="3"/>
      <c r="BR37" s="17">
        <f t="shared" si="0"/>
        <v>28007842</v>
      </c>
      <c r="BS37" s="3"/>
      <c r="BT37" s="17">
        <f>GovRev!AV37-BR37</f>
        <v>-2239164</v>
      </c>
      <c r="BU37" s="3"/>
      <c r="BV37" s="3">
        <v>10374776</v>
      </c>
      <c r="BW37" s="3"/>
      <c r="BX37" s="3">
        <v>0</v>
      </c>
      <c r="BY37" s="3"/>
      <c r="BZ37" s="17">
        <f t="shared" si="9"/>
        <v>8135612</v>
      </c>
      <c r="CA37" s="17"/>
      <c r="CB37" s="17">
        <f>-BZ37+GovBS!AE37</f>
        <v>0</v>
      </c>
      <c r="CE37" s="3" t="s">
        <v>383</v>
      </c>
      <c r="CF37" s="3" t="str">
        <f t="shared" si="2"/>
        <v>Lorain County JVSD</v>
      </c>
      <c r="CG37" s="3" t="b">
        <f t="shared" si="3"/>
        <v>1</v>
      </c>
      <c r="CH37" s="3" t="b">
        <f t="shared" si="4"/>
        <v>1</v>
      </c>
      <c r="CI37" s="20" t="str">
        <f>GovRev!A37</f>
        <v>Lorain County JVSD</v>
      </c>
      <c r="CJ37" s="20" t="b">
        <f t="shared" si="1"/>
        <v>1</v>
      </c>
      <c r="CL37" s="20" t="str">
        <f t="shared" si="5"/>
        <v>Lorain</v>
      </c>
      <c r="CM37" s="20" t="b">
        <f t="shared" si="6"/>
        <v>1</v>
      </c>
      <c r="CN37" s="20" t="b">
        <f t="shared" si="7"/>
        <v>1</v>
      </c>
      <c r="CP37" s="16" t="b">
        <f>C37=GovRev!C37</f>
        <v>1</v>
      </c>
    </row>
    <row r="38" spans="1:94" s="16" customFormat="1">
      <c r="A38" s="3" t="s">
        <v>309</v>
      </c>
      <c r="C38" s="16" t="s">
        <v>179</v>
      </c>
      <c r="E38" s="16">
        <v>51243</v>
      </c>
      <c r="G38" s="3">
        <v>1316165</v>
      </c>
      <c r="H38" s="3"/>
      <c r="I38" s="3">
        <v>0</v>
      </c>
      <c r="J38" s="3"/>
      <c r="K38" s="3">
        <v>3375375</v>
      </c>
      <c r="L38" s="3"/>
      <c r="M38" s="32">
        <v>577808</v>
      </c>
      <c r="N38" s="3"/>
      <c r="O38" s="3">
        <v>0</v>
      </c>
      <c r="P38" s="3"/>
      <c r="Q38" s="3">
        <v>1138644</v>
      </c>
      <c r="R38" s="3"/>
      <c r="S38" s="3">
        <v>1705805</v>
      </c>
      <c r="T38" s="3"/>
      <c r="U38" s="3">
        <v>59251</v>
      </c>
      <c r="V38" s="3"/>
      <c r="W38" s="3">
        <v>888190</v>
      </c>
      <c r="X38" s="3"/>
      <c r="Y38" s="3">
        <v>413637</v>
      </c>
      <c r="Z38" s="3"/>
      <c r="AA38" s="3">
        <v>1886</v>
      </c>
      <c r="AB38" s="3"/>
      <c r="AC38" s="3">
        <v>1157169</v>
      </c>
      <c r="AD38" s="3"/>
      <c r="AE38" s="3" t="s">
        <v>309</v>
      </c>
      <c r="AG38" s="16" t="s">
        <v>179</v>
      </c>
      <c r="AI38" s="3">
        <v>36784</v>
      </c>
      <c r="AJ38" s="3"/>
      <c r="AK38" s="3">
        <v>135736</v>
      </c>
      <c r="AL38" s="3"/>
      <c r="AM38" s="3">
        <v>0</v>
      </c>
      <c r="AN38" s="3"/>
      <c r="AO38" s="3">
        <v>297024</v>
      </c>
      <c r="AP38" s="3"/>
      <c r="AQ38" s="3">
        <v>12369</v>
      </c>
      <c r="AR38" s="3"/>
      <c r="AS38" s="3">
        <v>71396</v>
      </c>
      <c r="AT38" s="3"/>
      <c r="AU38" s="3">
        <v>285526</v>
      </c>
      <c r="AV38" s="3"/>
      <c r="AW38" s="3">
        <v>0</v>
      </c>
      <c r="AX38" s="3"/>
      <c r="AY38" s="3">
        <v>355000</v>
      </c>
      <c r="AZ38" s="3"/>
      <c r="BA38" s="3">
        <v>649976</v>
      </c>
      <c r="BB38" s="3"/>
      <c r="BC38" s="3">
        <v>0</v>
      </c>
      <c r="BD38" s="3"/>
      <c r="BE38" s="17">
        <f t="shared" si="8"/>
        <v>12477741</v>
      </c>
      <c r="BF38" s="3" t="s">
        <v>309</v>
      </c>
      <c r="BH38" s="16" t="s">
        <v>179</v>
      </c>
      <c r="BI38" s="3"/>
      <c r="BJ38" s="3">
        <v>57126</v>
      </c>
      <c r="BK38" s="3"/>
      <c r="BL38" s="3">
        <v>0</v>
      </c>
      <c r="BM38" s="3"/>
      <c r="BN38" s="3">
        <v>0</v>
      </c>
      <c r="BO38" s="3"/>
      <c r="BP38" s="3">
        <v>0</v>
      </c>
      <c r="BQ38" s="3"/>
      <c r="BR38" s="17">
        <f t="shared" si="0"/>
        <v>12534867</v>
      </c>
      <c r="BS38" s="3"/>
      <c r="BT38" s="17">
        <f>GovRev!AV38-BR38</f>
        <v>334901</v>
      </c>
      <c r="BU38" s="3"/>
      <c r="BV38" s="3">
        <v>20015828</v>
      </c>
      <c r="BW38" s="3"/>
      <c r="BX38" s="3">
        <v>0</v>
      </c>
      <c r="BY38" s="3"/>
      <c r="BZ38" s="17">
        <f t="shared" si="9"/>
        <v>20350729</v>
      </c>
      <c r="CA38" s="17"/>
      <c r="CB38" s="17">
        <f>-BZ38+GovBS!AE38</f>
        <v>0</v>
      </c>
      <c r="CE38" s="3"/>
      <c r="CF38" s="3" t="str">
        <f t="shared" si="2"/>
        <v>Mahoning Co Career &amp; Tech Center</v>
      </c>
      <c r="CG38" s="3" t="b">
        <f t="shared" si="3"/>
        <v>1</v>
      </c>
      <c r="CH38" s="3" t="b">
        <f t="shared" si="4"/>
        <v>1</v>
      </c>
      <c r="CI38" s="20" t="str">
        <f>GovRev!A38</f>
        <v>Mahoning Co Career &amp; Tech Center</v>
      </c>
      <c r="CJ38" s="20" t="b">
        <f t="shared" si="1"/>
        <v>1</v>
      </c>
      <c r="CL38" s="20" t="str">
        <f t="shared" si="5"/>
        <v>Mahoning</v>
      </c>
      <c r="CM38" s="20" t="b">
        <f t="shared" si="6"/>
        <v>1</v>
      </c>
      <c r="CN38" s="20" t="b">
        <f t="shared" si="7"/>
        <v>1</v>
      </c>
      <c r="CP38" s="16" t="b">
        <f>C38=GovRev!C38</f>
        <v>1</v>
      </c>
    </row>
    <row r="39" spans="1:94" s="16" customFormat="1">
      <c r="A39" s="3" t="s">
        <v>256</v>
      </c>
      <c r="C39" s="16" t="s">
        <v>190</v>
      </c>
      <c r="E39" s="16">
        <v>51391</v>
      </c>
      <c r="G39" s="3">
        <v>1178510</v>
      </c>
      <c r="H39" s="3"/>
      <c r="I39" s="3">
        <v>0</v>
      </c>
      <c r="J39" s="3"/>
      <c r="K39" s="3">
        <v>4667229</v>
      </c>
      <c r="L39" s="3"/>
      <c r="M39" s="32">
        <v>192545</v>
      </c>
      <c r="N39" s="3"/>
      <c r="O39" s="3">
        <v>0</v>
      </c>
      <c r="P39" s="3"/>
      <c r="Q39" s="3">
        <v>998674</v>
      </c>
      <c r="R39" s="3"/>
      <c r="S39" s="3">
        <v>508375</v>
      </c>
      <c r="T39" s="3"/>
      <c r="U39" s="3">
        <v>67255</v>
      </c>
      <c r="V39" s="3"/>
      <c r="W39" s="3">
        <v>822395</v>
      </c>
      <c r="X39" s="3"/>
      <c r="Y39" s="3">
        <v>510015</v>
      </c>
      <c r="Z39" s="3"/>
      <c r="AA39" s="3">
        <v>237421</v>
      </c>
      <c r="AB39" s="3"/>
      <c r="AC39" s="3">
        <v>1219420</v>
      </c>
      <c r="AD39" s="3"/>
      <c r="AE39" s="3" t="s">
        <v>256</v>
      </c>
      <c r="AG39" s="16" t="s">
        <v>190</v>
      </c>
      <c r="AI39" s="3">
        <v>6219</v>
      </c>
      <c r="AJ39" s="3"/>
      <c r="AK39" s="3">
        <v>336384</v>
      </c>
      <c r="AL39" s="3"/>
      <c r="AM39" s="3">
        <v>0</v>
      </c>
      <c r="AN39" s="3"/>
      <c r="AO39" s="3">
        <v>303139</v>
      </c>
      <c r="AP39" s="3"/>
      <c r="AQ39" s="3">
        <v>24850</v>
      </c>
      <c r="AR39" s="3"/>
      <c r="AS39" s="3">
        <v>30092</v>
      </c>
      <c r="AT39" s="3"/>
      <c r="AU39" s="3">
        <v>4683993</v>
      </c>
      <c r="AV39" s="3"/>
      <c r="AW39" s="3">
        <v>0</v>
      </c>
      <c r="AX39" s="3"/>
      <c r="AY39" s="3">
        <v>0</v>
      </c>
      <c r="AZ39" s="3"/>
      <c r="BA39" s="3">
        <v>0</v>
      </c>
      <c r="BB39" s="3"/>
      <c r="BC39" s="3">
        <v>0</v>
      </c>
      <c r="BD39" s="3"/>
      <c r="BE39" s="17">
        <f t="shared" si="8"/>
        <v>15786516</v>
      </c>
      <c r="BF39" s="3" t="s">
        <v>256</v>
      </c>
      <c r="BH39" s="16" t="s">
        <v>190</v>
      </c>
      <c r="BI39" s="3"/>
      <c r="BJ39" s="3">
        <v>0</v>
      </c>
      <c r="BK39" s="3"/>
      <c r="BL39" s="3">
        <v>0</v>
      </c>
      <c r="BM39" s="3"/>
      <c r="BN39" s="3">
        <v>0</v>
      </c>
      <c r="BO39" s="3"/>
      <c r="BP39" s="3">
        <v>0</v>
      </c>
      <c r="BQ39" s="3"/>
      <c r="BR39" s="17">
        <f t="shared" si="0"/>
        <v>15786516</v>
      </c>
      <c r="BS39" s="3"/>
      <c r="BT39" s="17">
        <f>GovRev!AV39-BR39</f>
        <v>-2560727</v>
      </c>
      <c r="BU39" s="3"/>
      <c r="BV39" s="3">
        <v>20976675</v>
      </c>
      <c r="BW39" s="3"/>
      <c r="BX39" s="3">
        <v>0</v>
      </c>
      <c r="BY39" s="3"/>
      <c r="BZ39" s="17">
        <f t="shared" si="9"/>
        <v>18415948</v>
      </c>
      <c r="CA39" s="17"/>
      <c r="CB39" s="17">
        <f>-BZ39+GovBS!AE39</f>
        <v>0</v>
      </c>
      <c r="CE39" s="3"/>
      <c r="CF39" s="3" t="str">
        <f t="shared" si="2"/>
        <v>Maplewood Career Center</v>
      </c>
      <c r="CG39" s="3" t="b">
        <f t="shared" si="3"/>
        <v>1</v>
      </c>
      <c r="CH39" s="3" t="b">
        <f t="shared" si="4"/>
        <v>1</v>
      </c>
      <c r="CI39" s="20" t="str">
        <f>GovRev!A39</f>
        <v>Maplewood Career Center</v>
      </c>
      <c r="CJ39" s="20" t="b">
        <f t="shared" si="1"/>
        <v>1</v>
      </c>
      <c r="CL39" s="20" t="str">
        <f t="shared" si="5"/>
        <v>Portage</v>
      </c>
      <c r="CM39" s="20" t="b">
        <f t="shared" si="6"/>
        <v>1</v>
      </c>
      <c r="CN39" s="20" t="b">
        <f t="shared" si="7"/>
        <v>1</v>
      </c>
      <c r="CP39" s="16" t="b">
        <f>C39=GovRev!C39</f>
        <v>1</v>
      </c>
    </row>
    <row r="40" spans="1:94" s="16" customFormat="1">
      <c r="A40" s="3" t="s">
        <v>223</v>
      </c>
      <c r="C40" s="16" t="s">
        <v>181</v>
      </c>
      <c r="E40" s="16">
        <v>62109</v>
      </c>
      <c r="G40" s="3">
        <v>2568567</v>
      </c>
      <c r="H40" s="3"/>
      <c r="I40" s="3">
        <v>472231</v>
      </c>
      <c r="J40" s="3"/>
      <c r="K40" s="3">
        <v>4724854</v>
      </c>
      <c r="L40" s="3"/>
      <c r="M40" s="32">
        <v>86466</v>
      </c>
      <c r="N40" s="3"/>
      <c r="O40" s="3">
        <v>0</v>
      </c>
      <c r="P40" s="3"/>
      <c r="Q40" s="3">
        <v>1714828</v>
      </c>
      <c r="R40" s="3"/>
      <c r="S40" s="3">
        <v>632047</v>
      </c>
      <c r="T40" s="3"/>
      <c r="U40" s="3">
        <v>36021</v>
      </c>
      <c r="V40" s="3"/>
      <c r="W40" s="3">
        <v>1710236</v>
      </c>
      <c r="X40" s="3"/>
      <c r="Y40" s="3">
        <v>504297</v>
      </c>
      <c r="Z40" s="3"/>
      <c r="AA40" s="3">
        <v>209629</v>
      </c>
      <c r="AB40" s="3"/>
      <c r="AC40" s="3">
        <v>1536540</v>
      </c>
      <c r="AD40" s="3"/>
      <c r="AE40" s="3" t="s">
        <v>223</v>
      </c>
      <c r="AG40" s="16" t="s">
        <v>181</v>
      </c>
      <c r="AI40" s="3">
        <v>32325</v>
      </c>
      <c r="AJ40" s="3"/>
      <c r="AK40" s="3">
        <v>199299</v>
      </c>
      <c r="AL40" s="3"/>
      <c r="AM40" s="3">
        <v>0</v>
      </c>
      <c r="AN40" s="3"/>
      <c r="AO40" s="3">
        <v>0</v>
      </c>
      <c r="AP40" s="3"/>
      <c r="AQ40" s="3">
        <v>72809</v>
      </c>
      <c r="AR40" s="3"/>
      <c r="AS40" s="3">
        <v>24061</v>
      </c>
      <c r="AT40" s="3"/>
      <c r="AU40" s="3">
        <v>80729</v>
      </c>
      <c r="AV40" s="3"/>
      <c r="AW40" s="3">
        <v>0</v>
      </c>
      <c r="AX40" s="3"/>
      <c r="AY40" s="3">
        <v>0</v>
      </c>
      <c r="AZ40" s="3"/>
      <c r="BA40" s="3">
        <v>0</v>
      </c>
      <c r="BB40" s="3"/>
      <c r="BC40" s="3">
        <v>0</v>
      </c>
      <c r="BD40" s="3"/>
      <c r="BE40" s="17">
        <f t="shared" si="8"/>
        <v>14604939</v>
      </c>
      <c r="BF40" s="3" t="s">
        <v>223</v>
      </c>
      <c r="BH40" s="16" t="s">
        <v>181</v>
      </c>
      <c r="BI40" s="3"/>
      <c r="BJ40" s="3">
        <v>10000</v>
      </c>
      <c r="BK40" s="3"/>
      <c r="BL40" s="3">
        <v>0</v>
      </c>
      <c r="BM40" s="3"/>
      <c r="BN40" s="3">
        <v>0</v>
      </c>
      <c r="BO40" s="3"/>
      <c r="BP40" s="3">
        <v>0</v>
      </c>
      <c r="BQ40" s="3"/>
      <c r="BR40" s="17">
        <f t="shared" si="0"/>
        <v>14614939</v>
      </c>
      <c r="BS40" s="3"/>
      <c r="BT40" s="17">
        <f>GovRev!AV40-BR40</f>
        <v>1892805</v>
      </c>
      <c r="BU40" s="3"/>
      <c r="BV40" s="3">
        <v>6763200</v>
      </c>
      <c r="BW40" s="3"/>
      <c r="BX40" s="3">
        <v>0</v>
      </c>
      <c r="BY40" s="3"/>
      <c r="BZ40" s="17">
        <f t="shared" si="9"/>
        <v>8656005</v>
      </c>
      <c r="CA40" s="17"/>
      <c r="CB40" s="17">
        <f>-BZ40+GovBS!AE40</f>
        <v>0</v>
      </c>
      <c r="CE40" s="3"/>
      <c r="CF40" s="3" t="str">
        <f t="shared" si="2"/>
        <v>Medina County JVSD</v>
      </c>
      <c r="CG40" s="3" t="b">
        <f t="shared" si="3"/>
        <v>1</v>
      </c>
      <c r="CH40" s="3" t="b">
        <f t="shared" si="4"/>
        <v>1</v>
      </c>
      <c r="CI40" s="20" t="str">
        <f>GovRev!A40</f>
        <v>Medina County JVSD</v>
      </c>
      <c r="CJ40" s="20" t="b">
        <f t="shared" si="1"/>
        <v>1</v>
      </c>
      <c r="CL40" s="20" t="str">
        <f t="shared" si="5"/>
        <v>Medina</v>
      </c>
      <c r="CM40" s="20" t="b">
        <f t="shared" si="6"/>
        <v>1</v>
      </c>
      <c r="CN40" s="20" t="b">
        <f t="shared" si="7"/>
        <v>1</v>
      </c>
      <c r="CP40" s="16" t="b">
        <f>C40=GovRev!C40</f>
        <v>1</v>
      </c>
    </row>
    <row r="41" spans="1:94" s="16" customFormat="1">
      <c r="A41" s="3" t="s">
        <v>310</v>
      </c>
      <c r="C41" s="16" t="s">
        <v>184</v>
      </c>
      <c r="E41" s="16">
        <v>51284</v>
      </c>
      <c r="G41" s="3">
        <v>463106</v>
      </c>
      <c r="H41" s="3"/>
      <c r="I41" s="3">
        <v>392910</v>
      </c>
      <c r="J41" s="3"/>
      <c r="K41" s="3">
        <v>16892473</v>
      </c>
      <c r="L41" s="3"/>
      <c r="M41" s="32">
        <v>5058088</v>
      </c>
      <c r="N41" s="3"/>
      <c r="O41" s="3">
        <v>0</v>
      </c>
      <c r="P41" s="3"/>
      <c r="Q41" s="3">
        <v>1541335</v>
      </c>
      <c r="R41" s="3"/>
      <c r="S41" s="3">
        <v>2156768</v>
      </c>
      <c r="T41" s="3"/>
      <c r="U41" s="3">
        <v>55241</v>
      </c>
      <c r="V41" s="3"/>
      <c r="W41" s="3">
        <v>2110330</v>
      </c>
      <c r="X41" s="3"/>
      <c r="Y41" s="3">
        <v>827832</v>
      </c>
      <c r="Z41" s="3"/>
      <c r="AA41" s="3">
        <v>426126</v>
      </c>
      <c r="AB41" s="3"/>
      <c r="AC41" s="3">
        <v>3429466</v>
      </c>
      <c r="AD41" s="3"/>
      <c r="AE41" s="3" t="s">
        <v>310</v>
      </c>
      <c r="AG41" s="16" t="s">
        <v>184</v>
      </c>
      <c r="AI41" s="3">
        <v>98748</v>
      </c>
      <c r="AJ41" s="3"/>
      <c r="AK41" s="3">
        <v>2505551</v>
      </c>
      <c r="AL41" s="3"/>
      <c r="AM41" s="3">
        <v>0</v>
      </c>
      <c r="AN41" s="3"/>
      <c r="AO41" s="3">
        <v>0</v>
      </c>
      <c r="AP41" s="3"/>
      <c r="AQ41" s="3">
        <v>365277</v>
      </c>
      <c r="AR41" s="3"/>
      <c r="AS41" s="3">
        <v>28377</v>
      </c>
      <c r="AT41" s="3"/>
      <c r="AU41" s="3">
        <v>366024</v>
      </c>
      <c r="AV41" s="3"/>
      <c r="AW41" s="3">
        <v>0</v>
      </c>
      <c r="AX41" s="3"/>
      <c r="AY41" s="3">
        <v>20000</v>
      </c>
      <c r="AZ41" s="3"/>
      <c r="BA41" s="3">
        <v>326795</v>
      </c>
      <c r="BB41" s="3"/>
      <c r="BC41" s="3">
        <v>0</v>
      </c>
      <c r="BD41" s="3"/>
      <c r="BE41" s="17">
        <f t="shared" si="8"/>
        <v>37064447</v>
      </c>
      <c r="BF41" s="3" t="s">
        <v>310</v>
      </c>
      <c r="BH41" s="16" t="s">
        <v>184</v>
      </c>
      <c r="BI41" s="3"/>
      <c r="BJ41" s="3">
        <v>346795</v>
      </c>
      <c r="BK41" s="3"/>
      <c r="BL41" s="3">
        <v>0</v>
      </c>
      <c r="BM41" s="3"/>
      <c r="BN41" s="3">
        <v>0</v>
      </c>
      <c r="BO41" s="3"/>
      <c r="BP41" s="3">
        <v>0</v>
      </c>
      <c r="BQ41" s="3"/>
      <c r="BR41" s="17">
        <f t="shared" si="0"/>
        <v>37411242</v>
      </c>
      <c r="BS41" s="3"/>
      <c r="BT41" s="17">
        <f>GovRev!AV41-BR41</f>
        <v>-458217</v>
      </c>
      <c r="BU41" s="3"/>
      <c r="BV41" s="3">
        <v>2763539</v>
      </c>
      <c r="BW41" s="3"/>
      <c r="BX41" s="3">
        <v>0</v>
      </c>
      <c r="BY41" s="3"/>
      <c r="BZ41" s="17">
        <f t="shared" si="9"/>
        <v>2305322</v>
      </c>
      <c r="CA41" s="17"/>
      <c r="CB41" s="17">
        <f>-BZ41+GovBS!AE41</f>
        <v>0</v>
      </c>
      <c r="CE41" s="3" t="s">
        <v>396</v>
      </c>
      <c r="CF41" s="3" t="str">
        <f t="shared" si="2"/>
        <v>Miami Valley Career Tech Center</v>
      </c>
      <c r="CG41" s="3" t="b">
        <f t="shared" si="3"/>
        <v>1</v>
      </c>
      <c r="CH41" s="3" t="b">
        <f t="shared" si="4"/>
        <v>1</v>
      </c>
      <c r="CI41" s="20" t="str">
        <f>GovRev!A41</f>
        <v>Miami Valley Career Tech Center</v>
      </c>
      <c r="CJ41" s="20" t="b">
        <f t="shared" si="1"/>
        <v>1</v>
      </c>
      <c r="CL41" s="20" t="str">
        <f t="shared" si="5"/>
        <v>Montgomery</v>
      </c>
      <c r="CM41" s="20" t="b">
        <f t="shared" si="6"/>
        <v>1</v>
      </c>
      <c r="CN41" s="20" t="b">
        <f t="shared" si="7"/>
        <v>1</v>
      </c>
      <c r="CP41" s="16" t="b">
        <f>C41=GovRev!C41</f>
        <v>1</v>
      </c>
    </row>
    <row r="42" spans="1:94" s="16" customFormat="1">
      <c r="A42" s="3" t="s">
        <v>397</v>
      </c>
      <c r="C42" s="16" t="s">
        <v>186</v>
      </c>
      <c r="E42" s="16">
        <v>51300</v>
      </c>
      <c r="G42" s="3">
        <v>1815101</v>
      </c>
      <c r="H42" s="3"/>
      <c r="I42" s="3">
        <v>0</v>
      </c>
      <c r="J42" s="3"/>
      <c r="K42" s="3">
        <v>6681455</v>
      </c>
      <c r="L42" s="3"/>
      <c r="M42" s="32">
        <v>2878306</v>
      </c>
      <c r="N42" s="3"/>
      <c r="O42" s="3">
        <v>0</v>
      </c>
      <c r="P42" s="3"/>
      <c r="Q42" s="3">
        <v>1032591</v>
      </c>
      <c r="R42" s="3"/>
      <c r="S42" s="3">
        <v>720625</v>
      </c>
      <c r="T42" s="3"/>
      <c r="U42" s="3">
        <v>78686</v>
      </c>
      <c r="V42" s="3"/>
      <c r="W42" s="3">
        <v>1415174</v>
      </c>
      <c r="X42" s="3"/>
      <c r="Y42" s="3">
        <v>717280</v>
      </c>
      <c r="Z42" s="3"/>
      <c r="AA42" s="3">
        <v>174867</v>
      </c>
      <c r="AB42" s="3"/>
      <c r="AC42" s="3">
        <v>1182750</v>
      </c>
      <c r="AD42" s="3"/>
      <c r="AE42" s="3" t="s">
        <v>397</v>
      </c>
      <c r="AG42" s="16" t="s">
        <v>186</v>
      </c>
      <c r="AI42" s="3">
        <v>57756</v>
      </c>
      <c r="AJ42" s="3"/>
      <c r="AK42" s="3">
        <v>493978</v>
      </c>
      <c r="AL42" s="3"/>
      <c r="AM42" s="3">
        <v>0</v>
      </c>
      <c r="AN42" s="3"/>
      <c r="AO42" s="3">
        <v>432700</v>
      </c>
      <c r="AP42" s="3"/>
      <c r="AQ42" s="3">
        <v>297</v>
      </c>
      <c r="AR42" s="3"/>
      <c r="AS42" s="3">
        <v>101652</v>
      </c>
      <c r="AT42" s="3"/>
      <c r="AU42" s="3">
        <v>1357100</v>
      </c>
      <c r="AV42" s="3"/>
      <c r="AW42" s="3">
        <v>0</v>
      </c>
      <c r="AX42" s="3"/>
      <c r="AY42" s="3">
        <v>1843016</v>
      </c>
      <c r="AZ42" s="3"/>
      <c r="BA42" s="3">
        <v>704315</v>
      </c>
      <c r="BB42" s="3"/>
      <c r="BC42" s="3">
        <v>0</v>
      </c>
      <c r="BD42" s="3"/>
      <c r="BE42" s="17">
        <f t="shared" si="8"/>
        <v>21687649</v>
      </c>
      <c r="BF42" s="3" t="s">
        <v>397</v>
      </c>
      <c r="BH42" s="16" t="s">
        <v>186</v>
      </c>
      <c r="BI42" s="3"/>
      <c r="BJ42" s="3">
        <v>1036993</v>
      </c>
      <c r="BK42" s="3"/>
      <c r="BL42" s="3">
        <v>0</v>
      </c>
      <c r="BM42" s="3"/>
      <c r="BN42" s="3">
        <v>0</v>
      </c>
      <c r="BO42" s="3"/>
      <c r="BP42" s="3">
        <v>0</v>
      </c>
      <c r="BQ42" s="3"/>
      <c r="BR42" s="17">
        <f t="shared" si="0"/>
        <v>22724642</v>
      </c>
      <c r="BS42" s="3"/>
      <c r="BT42" s="17">
        <f>GovRev!AV42-BR42</f>
        <v>3747426</v>
      </c>
      <c r="BU42" s="3"/>
      <c r="BV42" s="3">
        <v>38166149</v>
      </c>
      <c r="BW42" s="3"/>
      <c r="BX42" s="3">
        <v>0</v>
      </c>
      <c r="BY42" s="3"/>
      <c r="BZ42" s="17">
        <f t="shared" si="9"/>
        <v>41913575</v>
      </c>
      <c r="CA42" s="17"/>
      <c r="CB42" s="17">
        <f>-BZ42+GovBS!AE42</f>
        <v>0</v>
      </c>
      <c r="CE42" s="3"/>
      <c r="CF42" s="3" t="str">
        <f t="shared" si="2"/>
        <v>Mid-East Career &amp; Tech Centers</v>
      </c>
      <c r="CG42" s="3" t="b">
        <f t="shared" si="3"/>
        <v>1</v>
      </c>
      <c r="CH42" s="3" t="b">
        <f t="shared" si="4"/>
        <v>1</v>
      </c>
      <c r="CI42" s="20" t="str">
        <f>GovRev!A42</f>
        <v>Mid-East Career &amp; Tech Centers</v>
      </c>
      <c r="CJ42" s="20" t="b">
        <f t="shared" si="1"/>
        <v>1</v>
      </c>
      <c r="CL42" s="20" t="str">
        <f t="shared" si="5"/>
        <v>Muskingum</v>
      </c>
      <c r="CM42" s="20" t="b">
        <f t="shared" si="6"/>
        <v>1</v>
      </c>
      <c r="CN42" s="20" t="b">
        <f t="shared" si="7"/>
        <v>1</v>
      </c>
      <c r="CP42" s="16" t="b">
        <f>C42=GovRev!C42</f>
        <v>1</v>
      </c>
    </row>
    <row r="43" spans="1:94" s="16" customFormat="1" ht="12.75" customHeight="1">
      <c r="A43" s="3" t="s">
        <v>218</v>
      </c>
      <c r="C43" s="16" t="s">
        <v>177</v>
      </c>
      <c r="E43" s="16">
        <v>51334</v>
      </c>
      <c r="G43" s="3">
        <v>1264328</v>
      </c>
      <c r="H43" s="3"/>
      <c r="I43" s="3">
        <v>591200</v>
      </c>
      <c r="J43" s="3"/>
      <c r="K43" s="3">
        <v>4559520</v>
      </c>
      <c r="L43" s="3"/>
      <c r="M43" s="32">
        <v>1911702</v>
      </c>
      <c r="N43" s="3"/>
      <c r="O43" s="3">
        <v>9786</v>
      </c>
      <c r="P43" s="3"/>
      <c r="Q43" s="3">
        <v>803982</v>
      </c>
      <c r="R43" s="3"/>
      <c r="S43" s="3">
        <v>358900</v>
      </c>
      <c r="T43" s="3"/>
      <c r="U43" s="3">
        <v>54701</v>
      </c>
      <c r="V43" s="3"/>
      <c r="W43" s="3">
        <v>877065</v>
      </c>
      <c r="X43" s="3"/>
      <c r="Y43" s="3">
        <v>276817</v>
      </c>
      <c r="Z43" s="3"/>
      <c r="AA43" s="3">
        <v>1085455</v>
      </c>
      <c r="AB43" s="3"/>
      <c r="AC43" s="3">
        <v>1649032</v>
      </c>
      <c r="AD43" s="3"/>
      <c r="AE43" s="3" t="s">
        <v>218</v>
      </c>
      <c r="AG43" s="16" t="s">
        <v>177</v>
      </c>
      <c r="AI43" s="3">
        <v>82127</v>
      </c>
      <c r="AJ43" s="3"/>
      <c r="AK43" s="3">
        <v>817707</v>
      </c>
      <c r="AL43" s="3"/>
      <c r="AM43" s="3">
        <v>0</v>
      </c>
      <c r="AN43" s="3"/>
      <c r="AO43" s="3">
        <v>0</v>
      </c>
      <c r="AP43" s="3"/>
      <c r="AQ43" s="3">
        <v>272055</v>
      </c>
      <c r="AR43" s="3"/>
      <c r="AS43" s="3">
        <v>0</v>
      </c>
      <c r="AT43" s="3"/>
      <c r="AU43" s="3">
        <v>20505</v>
      </c>
      <c r="AV43" s="3"/>
      <c r="AW43" s="3">
        <v>0</v>
      </c>
      <c r="AX43" s="3"/>
      <c r="AY43" s="3">
        <v>258333</v>
      </c>
      <c r="AZ43" s="3"/>
      <c r="BA43" s="3">
        <v>48092</v>
      </c>
      <c r="BB43" s="3"/>
      <c r="BC43" s="3">
        <v>0</v>
      </c>
      <c r="BD43" s="3"/>
      <c r="BE43" s="17">
        <f t="shared" si="8"/>
        <v>14941307</v>
      </c>
      <c r="BF43" s="3" t="s">
        <v>218</v>
      </c>
      <c r="BH43" s="16" t="s">
        <v>177</v>
      </c>
      <c r="BI43" s="3"/>
      <c r="BJ43" s="3">
        <v>0</v>
      </c>
      <c r="BK43" s="3"/>
      <c r="BL43" s="3">
        <v>0</v>
      </c>
      <c r="BM43" s="3"/>
      <c r="BN43" s="3">
        <v>0</v>
      </c>
      <c r="BO43" s="3"/>
      <c r="BP43" s="3">
        <v>0</v>
      </c>
      <c r="BQ43" s="3"/>
      <c r="BR43" s="17">
        <f t="shared" si="0"/>
        <v>14941307</v>
      </c>
      <c r="BS43" s="3"/>
      <c r="BT43" s="17">
        <f>GovRev!AV43-BR43</f>
        <v>221553</v>
      </c>
      <c r="BU43" s="3"/>
      <c r="BV43" s="3">
        <v>8875228</v>
      </c>
      <c r="BW43" s="3"/>
      <c r="BX43" s="3">
        <v>0</v>
      </c>
      <c r="BY43" s="3"/>
      <c r="BZ43" s="17">
        <f t="shared" si="9"/>
        <v>9096781</v>
      </c>
      <c r="CA43" s="17"/>
      <c r="CB43" s="17">
        <f>-BZ43+GovBS!AE43</f>
        <v>0</v>
      </c>
      <c r="CE43" s="32" t="s">
        <v>401</v>
      </c>
      <c r="CF43" s="3" t="str">
        <f t="shared" si="2"/>
        <v>Ohio Hi-Point JVSD</v>
      </c>
      <c r="CG43" s="3" t="b">
        <f t="shared" si="3"/>
        <v>1</v>
      </c>
      <c r="CH43" s="3" t="b">
        <f t="shared" si="4"/>
        <v>1</v>
      </c>
      <c r="CI43" s="20" t="str">
        <f>GovRev!A43</f>
        <v>Ohio Hi-Point JVSD</v>
      </c>
      <c r="CJ43" s="20" t="b">
        <f t="shared" si="1"/>
        <v>1</v>
      </c>
      <c r="CL43" s="20" t="str">
        <f t="shared" si="5"/>
        <v>Logan</v>
      </c>
      <c r="CM43" s="20" t="b">
        <f t="shared" si="6"/>
        <v>1</v>
      </c>
      <c r="CN43" s="20" t="b">
        <f t="shared" si="7"/>
        <v>1</v>
      </c>
      <c r="CP43" s="16" t="b">
        <f>C43=GovRev!C43</f>
        <v>1</v>
      </c>
    </row>
    <row r="44" spans="1:94" s="16" customFormat="1">
      <c r="A44" s="3" t="s">
        <v>402</v>
      </c>
      <c r="C44" s="16" t="s">
        <v>209</v>
      </c>
      <c r="E44" s="16">
        <v>51359</v>
      </c>
      <c r="G44" s="3">
        <v>0</v>
      </c>
      <c r="H44" s="3"/>
      <c r="I44" s="3">
        <v>836675</v>
      </c>
      <c r="J44" s="3"/>
      <c r="K44" s="3">
        <v>15305275</v>
      </c>
      <c r="L44" s="3"/>
      <c r="M44" s="32">
        <v>1000828</v>
      </c>
      <c r="N44" s="3"/>
      <c r="O44" s="3">
        <v>559753</v>
      </c>
      <c r="P44" s="3"/>
      <c r="Q44" s="3">
        <v>2767881</v>
      </c>
      <c r="R44" s="3"/>
      <c r="S44" s="3">
        <v>2355150</v>
      </c>
      <c r="T44" s="3"/>
      <c r="U44" s="3">
        <v>45138</v>
      </c>
      <c r="V44" s="3"/>
      <c r="W44" s="3">
        <v>1116444</v>
      </c>
      <c r="X44" s="3"/>
      <c r="Y44" s="3">
        <v>655905</v>
      </c>
      <c r="Z44" s="3"/>
      <c r="AA44" s="3">
        <v>0</v>
      </c>
      <c r="AB44" s="3"/>
      <c r="AC44" s="3">
        <v>2534293</v>
      </c>
      <c r="AD44" s="3"/>
      <c r="AE44" s="3" t="s">
        <v>402</v>
      </c>
      <c r="AG44" s="16" t="s">
        <v>209</v>
      </c>
      <c r="AI44" s="3">
        <v>0</v>
      </c>
      <c r="AJ44" s="3"/>
      <c r="AK44" s="3">
        <v>301926</v>
      </c>
      <c r="AL44" s="3"/>
      <c r="AM44" s="3">
        <v>0</v>
      </c>
      <c r="AN44" s="3"/>
      <c r="AO44" s="3">
        <v>644156</v>
      </c>
      <c r="AP44" s="3"/>
      <c r="AQ44" s="3">
        <v>202530</v>
      </c>
      <c r="AR44" s="3"/>
      <c r="AS44" s="3">
        <v>221372</v>
      </c>
      <c r="AT44" s="3"/>
      <c r="AU44" s="3">
        <v>0</v>
      </c>
      <c r="AV44" s="3"/>
      <c r="AW44" s="3">
        <v>0</v>
      </c>
      <c r="AX44" s="3"/>
      <c r="AY44" s="3">
        <v>1832452</v>
      </c>
      <c r="AZ44" s="3"/>
      <c r="BA44" s="3">
        <v>2649843</v>
      </c>
      <c r="BB44" s="3"/>
      <c r="BC44" s="3">
        <v>0</v>
      </c>
      <c r="BD44" s="3"/>
      <c r="BE44" s="17">
        <f t="shared" si="8"/>
        <v>33029621</v>
      </c>
      <c r="BF44" s="3" t="s">
        <v>402</v>
      </c>
      <c r="BH44" s="16" t="s">
        <v>209</v>
      </c>
      <c r="BI44" s="3"/>
      <c r="BJ44" s="17">
        <v>3999916</v>
      </c>
      <c r="BK44" s="3"/>
      <c r="BL44" s="3">
        <v>0</v>
      </c>
      <c r="BM44" s="3"/>
      <c r="BN44" s="3">
        <v>0</v>
      </c>
      <c r="BO44" s="3"/>
      <c r="BP44" s="3">
        <v>0</v>
      </c>
      <c r="BQ44" s="3"/>
      <c r="BR44" s="17">
        <f t="shared" si="0"/>
        <v>37029537</v>
      </c>
      <c r="BS44" s="3"/>
      <c r="BT44" s="17">
        <f>GovRev!AV44-BR44</f>
        <v>4273949</v>
      </c>
      <c r="BU44" s="3"/>
      <c r="BV44" s="3">
        <v>19121668</v>
      </c>
      <c r="BW44" s="3"/>
      <c r="BX44" s="3">
        <v>0</v>
      </c>
      <c r="BY44" s="3"/>
      <c r="BZ44" s="17">
        <f t="shared" si="9"/>
        <v>23395617</v>
      </c>
      <c r="CA44" s="17"/>
      <c r="CB44" s="17">
        <f>-BZ44+GovBS!AE44</f>
        <v>0</v>
      </c>
      <c r="CE44" s="32" t="s">
        <v>403</v>
      </c>
      <c r="CF44" s="3" t="str">
        <f t="shared" si="2"/>
        <v>Penta Career Center</v>
      </c>
      <c r="CG44" s="3" t="b">
        <f t="shared" si="3"/>
        <v>1</v>
      </c>
      <c r="CH44" s="3" t="b">
        <f t="shared" si="4"/>
        <v>1</v>
      </c>
      <c r="CI44" s="20" t="str">
        <f>GovRev!A44</f>
        <v>Penta Career Center</v>
      </c>
      <c r="CJ44" s="20" t="b">
        <f t="shared" si="1"/>
        <v>1</v>
      </c>
      <c r="CL44" s="20" t="str">
        <f t="shared" si="5"/>
        <v>Wood</v>
      </c>
      <c r="CM44" s="20" t="b">
        <f t="shared" si="6"/>
        <v>1</v>
      </c>
      <c r="CN44" s="20" t="b">
        <f t="shared" si="7"/>
        <v>1</v>
      </c>
      <c r="CP44" s="16" t="b">
        <f>C44=GovRev!C44</f>
        <v>1</v>
      </c>
    </row>
    <row r="45" spans="1:94" s="16" customFormat="1">
      <c r="A45" s="3" t="s">
        <v>407</v>
      </c>
      <c r="C45" s="16" t="s">
        <v>194</v>
      </c>
      <c r="E45" s="16">
        <v>51433</v>
      </c>
      <c r="G45" s="3">
        <v>1178064</v>
      </c>
      <c r="H45" s="3"/>
      <c r="I45" s="3">
        <v>0</v>
      </c>
      <c r="J45" s="3"/>
      <c r="K45" s="3">
        <v>12671462</v>
      </c>
      <c r="L45" s="3"/>
      <c r="M45" s="32">
        <v>100</v>
      </c>
      <c r="N45" s="3"/>
      <c r="O45" s="3">
        <v>0</v>
      </c>
      <c r="P45" s="3"/>
      <c r="Q45" s="3">
        <v>1431543</v>
      </c>
      <c r="R45" s="3"/>
      <c r="S45" s="3">
        <v>1255376</v>
      </c>
      <c r="T45" s="3"/>
      <c r="U45" s="3">
        <v>20748</v>
      </c>
      <c r="V45" s="3"/>
      <c r="W45" s="3">
        <v>361583</v>
      </c>
      <c r="X45" s="3"/>
      <c r="Y45" s="3">
        <v>565330</v>
      </c>
      <c r="Z45" s="3"/>
      <c r="AA45" s="3">
        <v>7361</v>
      </c>
      <c r="AB45" s="3"/>
      <c r="AC45" s="3">
        <v>1219755</v>
      </c>
      <c r="AD45" s="3"/>
      <c r="AE45" s="3" t="s">
        <v>407</v>
      </c>
      <c r="AG45" s="16" t="s">
        <v>194</v>
      </c>
      <c r="AI45" s="3">
        <v>13444</v>
      </c>
      <c r="AJ45" s="3"/>
      <c r="AK45" s="3">
        <v>72891</v>
      </c>
      <c r="AL45" s="3"/>
      <c r="AM45" s="3">
        <v>0</v>
      </c>
      <c r="AN45" s="3"/>
      <c r="AO45" s="3">
        <v>0</v>
      </c>
      <c r="AP45" s="3"/>
      <c r="AQ45" s="3">
        <v>292672</v>
      </c>
      <c r="AR45" s="3"/>
      <c r="AS45" s="3">
        <v>18156</v>
      </c>
      <c r="AT45" s="3"/>
      <c r="AU45" s="3">
        <v>2557</v>
      </c>
      <c r="AV45" s="3"/>
      <c r="AW45" s="3">
        <v>0</v>
      </c>
      <c r="AX45" s="3"/>
      <c r="AY45" s="3">
        <v>272886</v>
      </c>
      <c r="AZ45" s="3"/>
      <c r="BA45" s="3">
        <v>0</v>
      </c>
      <c r="BB45" s="3"/>
      <c r="BC45" s="3">
        <v>0</v>
      </c>
      <c r="BD45" s="3"/>
      <c r="BE45" s="17">
        <f t="shared" si="8"/>
        <v>19383928</v>
      </c>
      <c r="BF45" s="3" t="s">
        <v>407</v>
      </c>
      <c r="BH45" s="16" t="s">
        <v>194</v>
      </c>
      <c r="BI45" s="3"/>
      <c r="BJ45" s="3">
        <v>373015</v>
      </c>
      <c r="BK45" s="3"/>
      <c r="BL45" s="3">
        <v>0</v>
      </c>
      <c r="BM45" s="3"/>
      <c r="BN45" s="3">
        <v>0</v>
      </c>
      <c r="BO45" s="3"/>
      <c r="BP45" s="3">
        <v>0</v>
      </c>
      <c r="BQ45" s="3"/>
      <c r="BR45" s="17">
        <f t="shared" si="0"/>
        <v>19756943</v>
      </c>
      <c r="BS45" s="3"/>
      <c r="BT45" s="17">
        <f>GovRev!AV45-BR45</f>
        <v>1300884</v>
      </c>
      <c r="BU45" s="3"/>
      <c r="BV45" s="3">
        <v>9477532</v>
      </c>
      <c r="BW45" s="3"/>
      <c r="BX45" s="3">
        <v>0</v>
      </c>
      <c r="BY45" s="3"/>
      <c r="BZ45" s="17">
        <f t="shared" si="9"/>
        <v>10778416</v>
      </c>
      <c r="CA45" s="17"/>
      <c r="CB45" s="17">
        <f>-BZ45+GovBS!AE45</f>
        <v>0</v>
      </c>
      <c r="CE45" s="3"/>
      <c r="CF45" s="3" t="str">
        <f t="shared" si="2"/>
        <v>Pickaway-Ross Career &amp; Tech Center</v>
      </c>
      <c r="CG45" s="3" t="b">
        <f t="shared" si="3"/>
        <v>1</v>
      </c>
      <c r="CH45" s="3" t="b">
        <f t="shared" si="4"/>
        <v>1</v>
      </c>
      <c r="CI45" s="20" t="str">
        <f>GovRev!A45</f>
        <v>Pickaway-Ross Career &amp; Tech Center</v>
      </c>
      <c r="CJ45" s="20" t="b">
        <f t="shared" si="1"/>
        <v>1</v>
      </c>
      <c r="CL45" s="20" t="str">
        <f t="shared" si="5"/>
        <v>Ross</v>
      </c>
      <c r="CM45" s="20" t="b">
        <f t="shared" si="6"/>
        <v>1</v>
      </c>
      <c r="CN45" s="20" t="b">
        <f t="shared" si="7"/>
        <v>1</v>
      </c>
      <c r="CP45" s="16" t="b">
        <f>C45=GovRev!C45</f>
        <v>1</v>
      </c>
    </row>
    <row r="46" spans="1:94" s="16" customFormat="1">
      <c r="A46" s="3" t="s">
        <v>257</v>
      </c>
      <c r="C46" s="16" t="s">
        <v>225</v>
      </c>
      <c r="E46" s="16">
        <v>51375</v>
      </c>
      <c r="G46" s="3">
        <v>0</v>
      </c>
      <c r="H46" s="3"/>
      <c r="I46" s="3">
        <v>90059</v>
      </c>
      <c r="J46" s="3"/>
      <c r="K46" s="3">
        <v>4305744</v>
      </c>
      <c r="L46" s="3"/>
      <c r="M46" s="32">
        <v>560378</v>
      </c>
      <c r="N46" s="3"/>
      <c r="O46" s="3">
        <v>0</v>
      </c>
      <c r="P46" s="3"/>
      <c r="Q46" s="3">
        <v>401188</v>
      </c>
      <c r="R46" s="3"/>
      <c r="S46" s="3">
        <v>360644</v>
      </c>
      <c r="T46" s="3"/>
      <c r="U46" s="3">
        <v>107428</v>
      </c>
      <c r="V46" s="3"/>
      <c r="W46" s="3">
        <v>599713</v>
      </c>
      <c r="X46" s="3"/>
      <c r="Y46" s="3">
        <v>362718</v>
      </c>
      <c r="Z46" s="3"/>
      <c r="AA46" s="3">
        <v>0</v>
      </c>
      <c r="AB46" s="3"/>
      <c r="AC46" s="3">
        <v>731544</v>
      </c>
      <c r="AD46" s="3"/>
      <c r="AE46" s="3" t="s">
        <v>257</v>
      </c>
      <c r="AG46" s="16" t="s">
        <v>225</v>
      </c>
      <c r="AI46" s="3">
        <v>13277</v>
      </c>
      <c r="AJ46" s="3"/>
      <c r="AK46" s="3">
        <v>190714</v>
      </c>
      <c r="AL46" s="3"/>
      <c r="AM46" s="3">
        <v>0</v>
      </c>
      <c r="AN46" s="3"/>
      <c r="AO46" s="3">
        <v>0</v>
      </c>
      <c r="AP46" s="3"/>
      <c r="AQ46" s="3">
        <v>326651</v>
      </c>
      <c r="AR46" s="3"/>
      <c r="AS46" s="3">
        <v>2631</v>
      </c>
      <c r="AT46" s="3"/>
      <c r="AU46" s="3">
        <v>221892</v>
      </c>
      <c r="AV46" s="3"/>
      <c r="AW46" s="3">
        <v>0</v>
      </c>
      <c r="AX46" s="3"/>
      <c r="AY46" s="3">
        <v>140753</v>
      </c>
      <c r="AZ46" s="3"/>
      <c r="BA46" s="3">
        <v>175716</v>
      </c>
      <c r="BB46" s="3"/>
      <c r="BC46" s="3">
        <v>0</v>
      </c>
      <c r="BD46" s="3"/>
      <c r="BE46" s="17">
        <f t="shared" si="8"/>
        <v>8591050</v>
      </c>
      <c r="BF46" s="3" t="s">
        <v>257</v>
      </c>
      <c r="BH46" s="16" t="s">
        <v>225</v>
      </c>
      <c r="BI46" s="3"/>
      <c r="BJ46" s="3">
        <v>552337</v>
      </c>
      <c r="BK46" s="3"/>
      <c r="BL46" s="3">
        <v>0</v>
      </c>
      <c r="BM46" s="3"/>
      <c r="BN46" s="3">
        <v>0</v>
      </c>
      <c r="BO46" s="3"/>
      <c r="BP46" s="3">
        <v>0</v>
      </c>
      <c r="BQ46" s="3"/>
      <c r="BR46" s="17">
        <f t="shared" ref="BR46:BR112" si="10">+BE46+BJ46+BL46+BP46+BN46</f>
        <v>9143387</v>
      </c>
      <c r="BS46" s="3"/>
      <c r="BT46" s="17">
        <f>GovRev!AV46-BR46</f>
        <v>-499162</v>
      </c>
      <c r="BU46" s="3"/>
      <c r="BV46" s="3">
        <v>4737974</v>
      </c>
      <c r="BW46" s="3"/>
      <c r="BX46" s="3">
        <v>0</v>
      </c>
      <c r="BY46" s="3"/>
      <c r="BZ46" s="17">
        <f t="shared" si="9"/>
        <v>4238812</v>
      </c>
      <c r="CA46" s="17"/>
      <c r="CB46" s="17">
        <f>-BZ46+GovBS!AE46</f>
        <v>0</v>
      </c>
      <c r="CE46" s="3"/>
      <c r="CF46" s="3" t="str">
        <f t="shared" si="2"/>
        <v>Pike County JVSD</v>
      </c>
      <c r="CG46" s="3" t="b">
        <f t="shared" si="3"/>
        <v>1</v>
      </c>
      <c r="CH46" s="3" t="b">
        <f t="shared" si="4"/>
        <v>1</v>
      </c>
      <c r="CI46" s="20" t="str">
        <f>GovRev!A46</f>
        <v>Pike County JVSD</v>
      </c>
      <c r="CJ46" s="20" t="b">
        <f t="shared" ref="CJ46:CJ64" si="11">CF46=CI46</f>
        <v>1</v>
      </c>
      <c r="CL46" s="20" t="str">
        <f t="shared" si="5"/>
        <v>Pike</v>
      </c>
      <c r="CM46" s="20" t="b">
        <f t="shared" si="6"/>
        <v>1</v>
      </c>
      <c r="CN46" s="20" t="b">
        <f t="shared" si="7"/>
        <v>1</v>
      </c>
      <c r="CP46" s="16" t="b">
        <f>C46=GovRev!C46</f>
        <v>1</v>
      </c>
    </row>
    <row r="47" spans="1:94" s="16" customFormat="1">
      <c r="A47" s="3" t="s">
        <v>311</v>
      </c>
      <c r="C47" s="16" t="s">
        <v>193</v>
      </c>
      <c r="E47" s="16">
        <v>51417</v>
      </c>
      <c r="G47" s="3">
        <v>874865</v>
      </c>
      <c r="H47" s="3"/>
      <c r="I47" s="3">
        <v>529067</v>
      </c>
      <c r="J47" s="3"/>
      <c r="K47" s="3">
        <v>9665392</v>
      </c>
      <c r="L47" s="3"/>
      <c r="M47" s="32">
        <v>381647</v>
      </c>
      <c r="N47" s="3"/>
      <c r="O47" s="3">
        <v>0</v>
      </c>
      <c r="P47" s="3"/>
      <c r="Q47" s="3">
        <v>1196950</v>
      </c>
      <c r="R47" s="3"/>
      <c r="S47" s="3">
        <v>1244305</v>
      </c>
      <c r="T47" s="3"/>
      <c r="U47" s="3">
        <v>94719</v>
      </c>
      <c r="V47" s="3"/>
      <c r="W47" s="3">
        <v>1233888</v>
      </c>
      <c r="X47" s="3"/>
      <c r="Y47" s="3">
        <v>480576</v>
      </c>
      <c r="Z47" s="3"/>
      <c r="AA47" s="3">
        <v>186194</v>
      </c>
      <c r="AB47" s="3"/>
      <c r="AC47" s="3">
        <v>1138333</v>
      </c>
      <c r="AD47" s="3"/>
      <c r="AE47" s="3" t="s">
        <v>311</v>
      </c>
      <c r="AG47" s="16" t="s">
        <v>193</v>
      </c>
      <c r="AI47" s="3">
        <v>1974</v>
      </c>
      <c r="AJ47" s="3"/>
      <c r="AK47" s="3">
        <v>141387</v>
      </c>
      <c r="AL47" s="3"/>
      <c r="AM47" s="3">
        <v>0</v>
      </c>
      <c r="AN47" s="3"/>
      <c r="AO47" s="3">
        <v>409757</v>
      </c>
      <c r="AP47" s="3"/>
      <c r="AQ47" s="3">
        <v>131</v>
      </c>
      <c r="AR47" s="3"/>
      <c r="AS47" s="3">
        <v>81239</v>
      </c>
      <c r="AT47" s="3"/>
      <c r="AU47" s="3">
        <f>15453658+75449</f>
        <v>15529107</v>
      </c>
      <c r="AV47" s="3"/>
      <c r="AW47" s="3">
        <v>0</v>
      </c>
      <c r="AX47" s="3"/>
      <c r="AY47" s="3">
        <v>304446</v>
      </c>
      <c r="AZ47" s="3"/>
      <c r="BA47" s="3">
        <v>576046</v>
      </c>
      <c r="BB47" s="3"/>
      <c r="BC47" s="3">
        <v>0</v>
      </c>
      <c r="BD47" s="3"/>
      <c r="BE47" s="17">
        <f t="shared" si="8"/>
        <v>34070023</v>
      </c>
      <c r="BF47" s="3" t="s">
        <v>311</v>
      </c>
      <c r="BH47" s="16" t="s">
        <v>193</v>
      </c>
      <c r="BI47" s="3"/>
      <c r="BJ47" s="3">
        <v>2226100</v>
      </c>
      <c r="BK47" s="3"/>
      <c r="BL47" s="3">
        <v>0</v>
      </c>
      <c r="BM47" s="3"/>
      <c r="BN47" s="3">
        <v>0</v>
      </c>
      <c r="BO47" s="3"/>
      <c r="BP47" s="3">
        <v>0</v>
      </c>
      <c r="BQ47" s="3"/>
      <c r="BR47" s="17">
        <f t="shared" si="10"/>
        <v>36296123</v>
      </c>
      <c r="BS47" s="3"/>
      <c r="BT47" s="17">
        <f>GovRev!AV47-BR47</f>
        <v>-7570127</v>
      </c>
      <c r="BU47" s="3"/>
      <c r="BV47" s="3">
        <v>33207669</v>
      </c>
      <c r="BW47" s="3"/>
      <c r="BX47" s="3">
        <v>-15032</v>
      </c>
      <c r="BY47" s="3"/>
      <c r="BZ47" s="17">
        <f t="shared" si="9"/>
        <v>25622510</v>
      </c>
      <c r="CA47" s="17"/>
      <c r="CB47" s="17">
        <f>-BZ47+GovBS!AE47</f>
        <v>0</v>
      </c>
      <c r="CE47" s="32"/>
      <c r="CF47" s="3" t="str">
        <f t="shared" si="2"/>
        <v>Pioneer Career &amp; Tech Center</v>
      </c>
      <c r="CG47" s="3" t="b">
        <f t="shared" si="3"/>
        <v>1</v>
      </c>
      <c r="CH47" s="3" t="b">
        <f t="shared" si="4"/>
        <v>1</v>
      </c>
      <c r="CI47" s="20" t="str">
        <f>GovRev!A47</f>
        <v>Pioneer Career &amp; Tech Center</v>
      </c>
      <c r="CJ47" s="20" t="b">
        <f t="shared" si="11"/>
        <v>1</v>
      </c>
      <c r="CL47" s="20" t="str">
        <f t="shared" si="5"/>
        <v>Richland</v>
      </c>
      <c r="CM47" s="20" t="b">
        <f t="shared" si="6"/>
        <v>1</v>
      </c>
      <c r="CN47" s="20" t="b">
        <f t="shared" si="7"/>
        <v>1</v>
      </c>
      <c r="CP47" s="16" t="b">
        <f>C47=GovRev!C47</f>
        <v>1</v>
      </c>
    </row>
    <row r="48" spans="1:94" s="16" customFormat="1">
      <c r="A48" s="3" t="s">
        <v>258</v>
      </c>
      <c r="C48" s="16" t="s">
        <v>160</v>
      </c>
      <c r="E48" s="16">
        <v>50948</v>
      </c>
      <c r="G48" s="3">
        <v>0</v>
      </c>
      <c r="H48" s="3"/>
      <c r="I48" s="3">
        <v>0</v>
      </c>
      <c r="J48" s="3"/>
      <c r="K48" s="3">
        <v>6279879</v>
      </c>
      <c r="L48" s="3"/>
      <c r="M48" s="32">
        <v>230690</v>
      </c>
      <c r="N48" s="3"/>
      <c r="O48" s="3">
        <v>0</v>
      </c>
      <c r="P48" s="3"/>
      <c r="Q48" s="3">
        <v>1874661</v>
      </c>
      <c r="R48" s="3"/>
      <c r="S48" s="3">
        <v>1470389</v>
      </c>
      <c r="T48" s="3"/>
      <c r="U48" s="3">
        <v>126622</v>
      </c>
      <c r="V48" s="3"/>
      <c r="W48" s="3">
        <v>796504</v>
      </c>
      <c r="X48" s="3"/>
      <c r="Y48" s="3">
        <v>718193</v>
      </c>
      <c r="Z48" s="3"/>
      <c r="AA48" s="3">
        <v>74155</v>
      </c>
      <c r="AB48" s="3"/>
      <c r="AC48" s="3">
        <v>1486447</v>
      </c>
      <c r="AD48" s="3"/>
      <c r="AE48" s="3" t="s">
        <v>258</v>
      </c>
      <c r="AG48" s="16" t="s">
        <v>160</v>
      </c>
      <c r="AI48" s="3">
        <v>18520</v>
      </c>
      <c r="AJ48" s="3"/>
      <c r="AK48" s="3">
        <v>1319668</v>
      </c>
      <c r="AL48" s="3"/>
      <c r="AM48" s="3">
        <v>0</v>
      </c>
      <c r="AN48" s="3"/>
      <c r="AO48" s="3">
        <v>0</v>
      </c>
      <c r="AP48" s="3"/>
      <c r="AQ48" s="3">
        <v>0</v>
      </c>
      <c r="AR48" s="3"/>
      <c r="AS48" s="3">
        <v>48084</v>
      </c>
      <c r="AT48" s="3"/>
      <c r="AU48" s="3">
        <v>2032193</v>
      </c>
      <c r="AV48" s="3"/>
      <c r="AW48" s="3">
        <v>0</v>
      </c>
      <c r="AX48" s="3"/>
      <c r="AY48" s="3">
        <v>0</v>
      </c>
      <c r="AZ48" s="3"/>
      <c r="BA48" s="3">
        <v>0</v>
      </c>
      <c r="BB48" s="3"/>
      <c r="BC48" s="3">
        <v>0</v>
      </c>
      <c r="BD48" s="3"/>
      <c r="BE48" s="17">
        <f t="shared" si="8"/>
        <v>16476005</v>
      </c>
      <c r="BF48" s="3" t="s">
        <v>258</v>
      </c>
      <c r="BH48" s="16" t="s">
        <v>160</v>
      </c>
      <c r="BI48" s="3"/>
      <c r="BJ48" s="3">
        <v>21054</v>
      </c>
      <c r="BK48" s="3"/>
      <c r="BL48" s="3">
        <v>0</v>
      </c>
      <c r="BM48" s="3"/>
      <c r="BN48" s="3">
        <v>0</v>
      </c>
      <c r="BO48" s="3"/>
      <c r="BP48" s="3">
        <v>0</v>
      </c>
      <c r="BQ48" s="3"/>
      <c r="BR48" s="17">
        <f t="shared" si="10"/>
        <v>16497059</v>
      </c>
      <c r="BS48" s="3"/>
      <c r="BT48" s="17">
        <f>GovRev!AV48-BR48</f>
        <v>-1554811</v>
      </c>
      <c r="BU48" s="3"/>
      <c r="BV48" s="3">
        <v>8269292</v>
      </c>
      <c r="BW48" s="3"/>
      <c r="BX48" s="3">
        <v>0</v>
      </c>
      <c r="BY48" s="3"/>
      <c r="BZ48" s="17">
        <f t="shared" si="9"/>
        <v>6714481</v>
      </c>
      <c r="CA48" s="17"/>
      <c r="CB48" s="17">
        <f>-BZ48+GovBS!AE48</f>
        <v>0</v>
      </c>
      <c r="CE48" s="3"/>
      <c r="CF48" s="3" t="str">
        <f t="shared" si="2"/>
        <v>Polaris Career Center</v>
      </c>
      <c r="CG48" s="3" t="b">
        <f t="shared" si="3"/>
        <v>1</v>
      </c>
      <c r="CH48" s="3" t="b">
        <f t="shared" si="4"/>
        <v>1</v>
      </c>
      <c r="CI48" s="20" t="str">
        <f>GovRev!A48</f>
        <v>Polaris Career Center</v>
      </c>
      <c r="CJ48" s="20" t="b">
        <f t="shared" si="11"/>
        <v>1</v>
      </c>
      <c r="CL48" s="20" t="str">
        <f t="shared" si="5"/>
        <v>Cuyahoga</v>
      </c>
      <c r="CM48" s="20" t="b">
        <f t="shared" si="6"/>
        <v>1</v>
      </c>
      <c r="CN48" s="20" t="b">
        <f t="shared" si="7"/>
        <v>1</v>
      </c>
      <c r="CP48" s="16" t="b">
        <f>C48=GovRev!C48</f>
        <v>1</v>
      </c>
    </row>
    <row r="49" spans="1:94" s="16" customFormat="1">
      <c r="A49" s="3" t="s">
        <v>259</v>
      </c>
      <c r="C49" s="16" t="s">
        <v>200</v>
      </c>
      <c r="E49" s="16">
        <v>63495</v>
      </c>
      <c r="G49" s="3">
        <v>402458</v>
      </c>
      <c r="H49" s="3"/>
      <c r="I49" s="3">
        <v>304446</v>
      </c>
      <c r="J49" s="3"/>
      <c r="K49" s="3">
        <v>3510824</v>
      </c>
      <c r="L49" s="3"/>
      <c r="M49" s="32">
        <v>1286248</v>
      </c>
      <c r="N49" s="3"/>
      <c r="O49" s="3">
        <v>2508</v>
      </c>
      <c r="P49" s="3"/>
      <c r="Q49" s="3">
        <v>233418</v>
      </c>
      <c r="R49" s="3"/>
      <c r="S49" s="3">
        <v>82692</v>
      </c>
      <c r="T49" s="3"/>
      <c r="U49" s="3">
        <v>22709</v>
      </c>
      <c r="V49" s="3"/>
      <c r="W49" s="3">
        <v>748211</v>
      </c>
      <c r="X49" s="3"/>
      <c r="Y49" s="3">
        <v>420924</v>
      </c>
      <c r="Z49" s="3"/>
      <c r="AA49" s="3">
        <v>0</v>
      </c>
      <c r="AB49" s="3"/>
      <c r="AC49" s="3">
        <v>410886</v>
      </c>
      <c r="AD49" s="3"/>
      <c r="AE49" s="3" t="s">
        <v>259</v>
      </c>
      <c r="AG49" s="16" t="s">
        <v>200</v>
      </c>
      <c r="AI49" s="3">
        <v>42646</v>
      </c>
      <c r="AJ49" s="3"/>
      <c r="AK49" s="3">
        <v>97838</v>
      </c>
      <c r="AL49" s="3"/>
      <c r="AM49" s="3">
        <v>0</v>
      </c>
      <c r="AN49" s="3"/>
      <c r="AO49" s="3">
        <v>0</v>
      </c>
      <c r="AP49" s="3"/>
      <c r="AQ49" s="3">
        <v>0</v>
      </c>
      <c r="AR49" s="3"/>
      <c r="AS49" s="3">
        <v>13533</v>
      </c>
      <c r="AT49" s="3"/>
      <c r="AU49" s="3">
        <v>181819</v>
      </c>
      <c r="AV49" s="3"/>
      <c r="AW49" s="3">
        <v>0</v>
      </c>
      <c r="AX49" s="3"/>
      <c r="AY49" s="3">
        <v>33333</v>
      </c>
      <c r="AZ49" s="3"/>
      <c r="BA49" s="3">
        <v>0</v>
      </c>
      <c r="BB49" s="3"/>
      <c r="BC49" s="3">
        <v>0</v>
      </c>
      <c r="BD49" s="3"/>
      <c r="BE49" s="17">
        <f t="shared" si="8"/>
        <v>7794493</v>
      </c>
      <c r="BF49" s="3" t="s">
        <v>259</v>
      </c>
      <c r="BH49" s="16" t="s">
        <v>200</v>
      </c>
      <c r="BI49" s="3"/>
      <c r="BJ49" s="3">
        <v>33333</v>
      </c>
      <c r="BK49" s="3"/>
      <c r="BL49" s="3">
        <v>0</v>
      </c>
      <c r="BM49" s="3"/>
      <c r="BN49" s="3">
        <v>0</v>
      </c>
      <c r="BO49" s="3"/>
      <c r="BP49" s="3">
        <v>0</v>
      </c>
      <c r="BQ49" s="3"/>
      <c r="BR49" s="17">
        <f t="shared" si="10"/>
        <v>7827826</v>
      </c>
      <c r="BS49" s="3"/>
      <c r="BT49" s="17">
        <f>GovRev!AV49-BR49</f>
        <v>337096</v>
      </c>
      <c r="BU49" s="3"/>
      <c r="BV49" s="3">
        <v>12374776</v>
      </c>
      <c r="BW49" s="3"/>
      <c r="BX49" s="3">
        <v>0</v>
      </c>
      <c r="BY49" s="3"/>
      <c r="BZ49" s="17">
        <f t="shared" si="9"/>
        <v>12711872</v>
      </c>
      <c r="CA49" s="17"/>
      <c r="CB49" s="17">
        <f>-BZ49+GovBS!AE49</f>
        <v>0</v>
      </c>
      <c r="CE49" s="3"/>
      <c r="CF49" s="3" t="str">
        <f t="shared" si="2"/>
        <v>Portage Lakes Career Center</v>
      </c>
      <c r="CG49" s="3" t="b">
        <f t="shared" si="3"/>
        <v>1</v>
      </c>
      <c r="CH49" s="3" t="b">
        <f t="shared" si="4"/>
        <v>1</v>
      </c>
      <c r="CI49" s="20" t="str">
        <f>GovRev!A49</f>
        <v>Portage Lakes Career Center</v>
      </c>
      <c r="CJ49" s="20" t="b">
        <f t="shared" si="11"/>
        <v>1</v>
      </c>
      <c r="CL49" s="20" t="str">
        <f t="shared" si="5"/>
        <v>Summit</v>
      </c>
      <c r="CM49" s="20" t="b">
        <f t="shared" si="6"/>
        <v>1</v>
      </c>
      <c r="CN49" s="20" t="b">
        <f t="shared" si="7"/>
        <v>1</v>
      </c>
      <c r="CP49" s="16" t="b">
        <f>C49=GovRev!C49</f>
        <v>1</v>
      </c>
    </row>
    <row r="50" spans="1:94" s="16" customFormat="1">
      <c r="A50" s="3" t="s">
        <v>260</v>
      </c>
      <c r="C50" s="16" t="s">
        <v>196</v>
      </c>
      <c r="E50" s="16">
        <v>51490</v>
      </c>
      <c r="G50" s="3">
        <v>0</v>
      </c>
      <c r="H50" s="3"/>
      <c r="I50" s="3">
        <v>247853</v>
      </c>
      <c r="J50" s="3"/>
      <c r="K50" s="3">
        <v>5546887</v>
      </c>
      <c r="L50" s="3"/>
      <c r="M50" s="32">
        <v>0</v>
      </c>
      <c r="N50" s="3"/>
      <c r="O50" s="3">
        <v>0</v>
      </c>
      <c r="P50" s="3"/>
      <c r="Q50" s="3">
        <v>398720</v>
      </c>
      <c r="R50" s="3"/>
      <c r="S50" s="3">
        <v>439930</v>
      </c>
      <c r="T50" s="3"/>
      <c r="U50" s="3">
        <v>13770</v>
      </c>
      <c r="V50" s="3"/>
      <c r="W50" s="3">
        <v>1329202</v>
      </c>
      <c r="X50" s="3"/>
      <c r="Y50" s="3">
        <v>362591</v>
      </c>
      <c r="Z50" s="3"/>
      <c r="AA50" s="3">
        <v>0</v>
      </c>
      <c r="AB50" s="3"/>
      <c r="AC50" s="3">
        <v>1064697</v>
      </c>
      <c r="AD50" s="3"/>
      <c r="AE50" s="3" t="s">
        <v>260</v>
      </c>
      <c r="AG50" s="16" t="s">
        <v>196</v>
      </c>
      <c r="AI50" s="3">
        <v>6296</v>
      </c>
      <c r="AJ50" s="3"/>
      <c r="AK50" s="3">
        <v>138397</v>
      </c>
      <c r="AL50" s="3"/>
      <c r="AM50" s="3">
        <v>0</v>
      </c>
      <c r="AN50" s="3"/>
      <c r="AO50" s="3">
        <v>0</v>
      </c>
      <c r="AP50" s="3"/>
      <c r="AQ50" s="3">
        <v>297363</v>
      </c>
      <c r="AR50" s="3"/>
      <c r="AS50" s="3">
        <v>35991</v>
      </c>
      <c r="AT50" s="3"/>
      <c r="AU50" s="3">
        <v>31645</v>
      </c>
      <c r="AV50" s="3"/>
      <c r="AW50" s="3">
        <v>0</v>
      </c>
      <c r="AX50" s="3"/>
      <c r="AY50" s="3">
        <v>14600</v>
      </c>
      <c r="AZ50" s="3"/>
      <c r="BA50" s="3">
        <v>0</v>
      </c>
      <c r="BB50" s="3"/>
      <c r="BC50" s="3">
        <v>0</v>
      </c>
      <c r="BD50" s="3"/>
      <c r="BE50" s="17">
        <f t="shared" si="8"/>
        <v>9927942</v>
      </c>
      <c r="BF50" s="3" t="s">
        <v>260</v>
      </c>
      <c r="BH50" s="16" t="s">
        <v>196</v>
      </c>
      <c r="BI50" s="3"/>
      <c r="BJ50" s="3">
        <v>366334</v>
      </c>
      <c r="BK50" s="3"/>
      <c r="BL50" s="3">
        <v>0</v>
      </c>
      <c r="BM50" s="3"/>
      <c r="BN50" s="3">
        <v>0</v>
      </c>
      <c r="BO50" s="3"/>
      <c r="BP50" s="3">
        <v>0</v>
      </c>
      <c r="BQ50" s="3"/>
      <c r="BR50" s="17">
        <f t="shared" si="10"/>
        <v>10294276</v>
      </c>
      <c r="BS50" s="3"/>
      <c r="BT50" s="17">
        <f>GovRev!AV50-BR50</f>
        <v>344903</v>
      </c>
      <c r="BU50" s="3"/>
      <c r="BV50" s="3">
        <v>5819297</v>
      </c>
      <c r="BW50" s="3"/>
      <c r="BX50" s="3">
        <v>0</v>
      </c>
      <c r="BY50" s="3"/>
      <c r="BZ50" s="17">
        <f t="shared" si="9"/>
        <v>6164200</v>
      </c>
      <c r="CA50" s="17"/>
      <c r="CB50" s="17">
        <f>-BZ50+GovBS!AE50</f>
        <v>0</v>
      </c>
      <c r="CE50" s="3"/>
      <c r="CF50" s="3" t="str">
        <f t="shared" si="2"/>
        <v>Scioto County JVSD</v>
      </c>
      <c r="CG50" s="3" t="b">
        <f t="shared" si="3"/>
        <v>1</v>
      </c>
      <c r="CH50" s="3" t="b">
        <f t="shared" si="4"/>
        <v>1</v>
      </c>
      <c r="CI50" s="20" t="str">
        <f>GovRev!A50</f>
        <v>Scioto County JVSD</v>
      </c>
      <c r="CJ50" s="20" t="b">
        <f t="shared" si="11"/>
        <v>1</v>
      </c>
      <c r="CL50" s="20" t="str">
        <f t="shared" si="5"/>
        <v>Scioto</v>
      </c>
      <c r="CM50" s="20" t="b">
        <f t="shared" si="6"/>
        <v>1</v>
      </c>
      <c r="CN50" s="20" t="b">
        <f t="shared" si="7"/>
        <v>1</v>
      </c>
      <c r="CP50" s="16" t="b">
        <f>C50=GovRev!C50</f>
        <v>1</v>
      </c>
    </row>
    <row r="51" spans="1:94" s="16" customFormat="1">
      <c r="A51" s="3" t="s">
        <v>211</v>
      </c>
      <c r="C51" s="16" t="s">
        <v>153</v>
      </c>
      <c r="E51" s="16">
        <v>50799</v>
      </c>
      <c r="G51" s="3">
        <v>161949</v>
      </c>
      <c r="H51" s="3"/>
      <c r="I51" s="3">
        <v>1876</v>
      </c>
      <c r="J51" s="3"/>
      <c r="K51" s="3">
        <v>3646856</v>
      </c>
      <c r="L51" s="3"/>
      <c r="M51" s="32">
        <v>131838</v>
      </c>
      <c r="N51" s="3"/>
      <c r="O51" s="3">
        <v>0</v>
      </c>
      <c r="P51" s="3"/>
      <c r="Q51" s="3">
        <v>463416</v>
      </c>
      <c r="R51" s="3"/>
      <c r="S51" s="3">
        <v>135283</v>
      </c>
      <c r="T51" s="3"/>
      <c r="U51" s="3">
        <v>42922</v>
      </c>
      <c r="V51" s="3"/>
      <c r="W51" s="3">
        <v>697582</v>
      </c>
      <c r="X51" s="3"/>
      <c r="Y51" s="3">
        <v>364758</v>
      </c>
      <c r="Z51" s="3"/>
      <c r="AA51" s="3">
        <v>5259</v>
      </c>
      <c r="AB51" s="3"/>
      <c r="AC51" s="3">
        <v>562713</v>
      </c>
      <c r="AD51" s="3"/>
      <c r="AE51" s="3" t="s">
        <v>211</v>
      </c>
      <c r="AG51" s="16" t="s">
        <v>153</v>
      </c>
      <c r="AI51" s="3">
        <v>26334</v>
      </c>
      <c r="AJ51" s="3"/>
      <c r="AK51" s="3">
        <v>62764</v>
      </c>
      <c r="AL51" s="3"/>
      <c r="AM51" s="3">
        <v>0</v>
      </c>
      <c r="AN51" s="3"/>
      <c r="AO51" s="3">
        <v>260316</v>
      </c>
      <c r="AP51" s="3"/>
      <c r="AQ51" s="3">
        <v>0</v>
      </c>
      <c r="AR51" s="3"/>
      <c r="AS51" s="3">
        <v>9560</v>
      </c>
      <c r="AT51" s="3"/>
      <c r="AU51" s="3">
        <v>91205</v>
      </c>
      <c r="AV51" s="3"/>
      <c r="AW51" s="3">
        <v>0</v>
      </c>
      <c r="AX51" s="3"/>
      <c r="AY51" s="3">
        <v>213528</v>
      </c>
      <c r="AZ51" s="3"/>
      <c r="BA51" s="3">
        <v>25995</v>
      </c>
      <c r="BB51" s="3"/>
      <c r="BC51" s="3">
        <v>0</v>
      </c>
      <c r="BD51" s="3"/>
      <c r="BE51" s="17">
        <f t="shared" si="8"/>
        <v>6904154</v>
      </c>
      <c r="BF51" s="3" t="s">
        <v>211</v>
      </c>
      <c r="BH51" s="16" t="s">
        <v>153</v>
      </c>
      <c r="BI51" s="3"/>
      <c r="BJ51" s="3">
        <v>120000</v>
      </c>
      <c r="BK51" s="3"/>
      <c r="BL51" s="3">
        <v>0</v>
      </c>
      <c r="BM51" s="3"/>
      <c r="BN51" s="3">
        <v>0</v>
      </c>
      <c r="BO51" s="3"/>
      <c r="BP51" s="3">
        <v>0</v>
      </c>
      <c r="BQ51" s="3"/>
      <c r="BR51" s="17">
        <f t="shared" si="10"/>
        <v>7024154</v>
      </c>
      <c r="BS51" s="3"/>
      <c r="BT51" s="17">
        <f>GovRev!AV51-BR51</f>
        <v>38124</v>
      </c>
      <c r="BU51" s="3"/>
      <c r="BV51" s="3">
        <v>8096295</v>
      </c>
      <c r="BW51" s="3"/>
      <c r="BX51" s="3">
        <v>0</v>
      </c>
      <c r="BY51" s="3"/>
      <c r="BZ51" s="17">
        <f t="shared" si="9"/>
        <v>8134419</v>
      </c>
      <c r="CA51" s="17"/>
      <c r="CB51" s="17">
        <f>-BZ51+GovBS!AE51</f>
        <v>0</v>
      </c>
      <c r="CE51" s="3"/>
      <c r="CF51" s="3" t="str">
        <f t="shared" si="2"/>
        <v>Southern Hills JVSD</v>
      </c>
      <c r="CG51" s="3" t="b">
        <f t="shared" si="3"/>
        <v>1</v>
      </c>
      <c r="CH51" s="3" t="b">
        <f t="shared" si="4"/>
        <v>1</v>
      </c>
      <c r="CI51" s="20" t="str">
        <f>GovRev!A51</f>
        <v>Southern Hills JVSD</v>
      </c>
      <c r="CJ51" s="20" t="b">
        <f t="shared" si="11"/>
        <v>1</v>
      </c>
      <c r="CL51" s="20" t="str">
        <f t="shared" si="5"/>
        <v>Brown</v>
      </c>
      <c r="CM51" s="20" t="b">
        <f t="shared" si="6"/>
        <v>1</v>
      </c>
      <c r="CN51" s="20" t="b">
        <f t="shared" si="7"/>
        <v>1</v>
      </c>
      <c r="CP51" s="16" t="b">
        <f>C51=GovRev!C51</f>
        <v>1</v>
      </c>
    </row>
    <row r="52" spans="1:94" s="16" customFormat="1">
      <c r="A52" s="3" t="s">
        <v>286</v>
      </c>
      <c r="C52" s="16" t="s">
        <v>155</v>
      </c>
      <c r="E52" s="16">
        <v>51532</v>
      </c>
      <c r="G52" s="3">
        <v>0</v>
      </c>
      <c r="H52" s="3"/>
      <c r="I52" s="3">
        <v>558988</v>
      </c>
      <c r="J52" s="3"/>
      <c r="K52" s="3">
        <v>5716169</v>
      </c>
      <c r="L52" s="3"/>
      <c r="M52" s="32">
        <v>22</v>
      </c>
      <c r="N52" s="3"/>
      <c r="O52" s="3">
        <v>0</v>
      </c>
      <c r="P52" s="3"/>
      <c r="Q52" s="3">
        <v>1094001</v>
      </c>
      <c r="R52" s="3"/>
      <c r="S52" s="3">
        <v>466229</v>
      </c>
      <c r="T52" s="3"/>
      <c r="U52" s="3">
        <v>76071</v>
      </c>
      <c r="V52" s="3"/>
      <c r="W52" s="3">
        <v>815102</v>
      </c>
      <c r="X52" s="3"/>
      <c r="Y52" s="3">
        <v>549286</v>
      </c>
      <c r="Z52" s="3"/>
      <c r="AA52" s="3">
        <v>134065</v>
      </c>
      <c r="AB52" s="3"/>
      <c r="AC52" s="3">
        <v>1270030</v>
      </c>
      <c r="AD52" s="3"/>
      <c r="AE52" s="3" t="s">
        <v>286</v>
      </c>
      <c r="AG52" s="16" t="s">
        <v>155</v>
      </c>
      <c r="AI52" s="3">
        <v>56717</v>
      </c>
      <c r="AJ52" s="3"/>
      <c r="AK52" s="3">
        <v>36332</v>
      </c>
      <c r="AL52" s="3"/>
      <c r="AM52" s="3">
        <v>0</v>
      </c>
      <c r="AN52" s="3"/>
      <c r="AO52" s="3">
        <v>0</v>
      </c>
      <c r="AP52" s="3"/>
      <c r="AQ52" s="3">
        <v>273906</v>
      </c>
      <c r="AR52" s="3"/>
      <c r="AS52" s="3">
        <v>29301</v>
      </c>
      <c r="AT52" s="3"/>
      <c r="AU52" s="3">
        <v>173152</v>
      </c>
      <c r="AV52" s="3"/>
      <c r="AW52" s="3">
        <v>0</v>
      </c>
      <c r="AX52" s="3"/>
      <c r="AY52" s="3">
        <v>462035</v>
      </c>
      <c r="AZ52" s="3"/>
      <c r="BA52" s="3">
        <v>171756</v>
      </c>
      <c r="BB52" s="3"/>
      <c r="BC52" s="3">
        <v>0</v>
      </c>
      <c r="BD52" s="3"/>
      <c r="BE52" s="17">
        <f t="shared" si="8"/>
        <v>11883162</v>
      </c>
      <c r="BF52" s="3" t="s">
        <v>286</v>
      </c>
      <c r="BH52" s="16" t="s">
        <v>155</v>
      </c>
      <c r="BI52" s="3"/>
      <c r="BJ52" s="3">
        <v>1636</v>
      </c>
      <c r="BK52" s="3"/>
      <c r="BL52" s="3">
        <v>0</v>
      </c>
      <c r="BM52" s="3"/>
      <c r="BN52" s="3">
        <v>0</v>
      </c>
      <c r="BO52" s="3"/>
      <c r="BP52" s="3">
        <v>0</v>
      </c>
      <c r="BQ52" s="3"/>
      <c r="BR52" s="17">
        <f t="shared" si="10"/>
        <v>11884798</v>
      </c>
      <c r="BS52" s="3"/>
      <c r="BT52" s="17">
        <f>GovRev!AV52-BR52</f>
        <v>751511</v>
      </c>
      <c r="BU52" s="3"/>
      <c r="BV52" s="3">
        <v>7703363</v>
      </c>
      <c r="BW52" s="3"/>
      <c r="BX52" s="3">
        <v>0</v>
      </c>
      <c r="BY52" s="3"/>
      <c r="BZ52" s="17">
        <f t="shared" si="9"/>
        <v>8454874</v>
      </c>
      <c r="CA52" s="17"/>
      <c r="CB52" s="17">
        <f>-BZ52+GovBS!AE52</f>
        <v>0</v>
      </c>
      <c r="CE52" s="32"/>
      <c r="CF52" s="3" t="str">
        <f t="shared" si="2"/>
        <v>Springfield-Clark Co Career Tech Center</v>
      </c>
      <c r="CG52" s="3" t="b">
        <f t="shared" si="3"/>
        <v>1</v>
      </c>
      <c r="CH52" s="3" t="b">
        <f t="shared" si="4"/>
        <v>1</v>
      </c>
      <c r="CI52" s="20" t="str">
        <f>GovRev!A52</f>
        <v>Springfield-Clark Co Career Tech Center</v>
      </c>
      <c r="CJ52" s="20" t="b">
        <f t="shared" si="11"/>
        <v>1</v>
      </c>
      <c r="CL52" s="20" t="str">
        <f t="shared" si="5"/>
        <v>Clark</v>
      </c>
      <c r="CM52" s="20" t="b">
        <f t="shared" si="6"/>
        <v>1</v>
      </c>
      <c r="CN52" s="20" t="b">
        <f t="shared" si="7"/>
        <v>1</v>
      </c>
      <c r="CP52" s="16" t="b">
        <f>C52=GovRev!C52</f>
        <v>1</v>
      </c>
    </row>
    <row r="53" spans="1:94" s="16" customFormat="1">
      <c r="A53" s="3" t="s">
        <v>226</v>
      </c>
      <c r="C53" s="16" t="s">
        <v>199</v>
      </c>
      <c r="E53" s="16">
        <v>62026</v>
      </c>
      <c r="G53" s="3">
        <v>859127</v>
      </c>
      <c r="H53" s="3"/>
      <c r="I53" s="3">
        <v>195437</v>
      </c>
      <c r="J53" s="3"/>
      <c r="K53" s="3">
        <v>3796422</v>
      </c>
      <c r="L53" s="3"/>
      <c r="M53" s="32">
        <v>0</v>
      </c>
      <c r="N53" s="3"/>
      <c r="O53" s="3">
        <v>780</v>
      </c>
      <c r="P53" s="3"/>
      <c r="Q53" s="3">
        <v>907709</v>
      </c>
      <c r="R53" s="3"/>
      <c r="S53" s="3">
        <v>482910</v>
      </c>
      <c r="T53" s="3"/>
      <c r="U53" s="3">
        <v>12856</v>
      </c>
      <c r="V53" s="3"/>
      <c r="W53" s="3">
        <v>285759</v>
      </c>
      <c r="X53" s="3"/>
      <c r="Y53" s="3">
        <v>258811</v>
      </c>
      <c r="Z53" s="3"/>
      <c r="AA53" s="3">
        <v>32037</v>
      </c>
      <c r="AB53" s="3"/>
      <c r="AC53" s="3">
        <v>787539</v>
      </c>
      <c r="AD53" s="3"/>
      <c r="AE53" s="3" t="s">
        <v>226</v>
      </c>
      <c r="AG53" s="16" t="s">
        <v>199</v>
      </c>
      <c r="AI53" s="3">
        <v>0</v>
      </c>
      <c r="AJ53" s="3"/>
      <c r="AK53" s="3">
        <v>110841</v>
      </c>
      <c r="AL53" s="3"/>
      <c r="AM53" s="3">
        <v>0</v>
      </c>
      <c r="AN53" s="3"/>
      <c r="AO53" s="3">
        <v>270580</v>
      </c>
      <c r="AP53" s="3"/>
      <c r="AQ53" s="3">
        <v>365</v>
      </c>
      <c r="AR53" s="3"/>
      <c r="AS53" s="3">
        <v>61718</v>
      </c>
      <c r="AT53" s="3"/>
      <c r="AU53" s="3">
        <v>72</v>
      </c>
      <c r="AV53" s="3"/>
      <c r="AW53" s="3">
        <v>0</v>
      </c>
      <c r="AX53" s="3"/>
      <c r="AY53" s="3">
        <v>0</v>
      </c>
      <c r="AZ53" s="3"/>
      <c r="BA53" s="3">
        <v>0</v>
      </c>
      <c r="BB53" s="3"/>
      <c r="BC53" s="3">
        <v>0</v>
      </c>
      <c r="BD53" s="3"/>
      <c r="BE53" s="17">
        <f t="shared" si="8"/>
        <v>8062963</v>
      </c>
      <c r="BF53" s="3" t="s">
        <v>226</v>
      </c>
      <c r="BH53" s="16" t="s">
        <v>199</v>
      </c>
      <c r="BI53" s="3"/>
      <c r="BJ53" s="3">
        <v>0</v>
      </c>
      <c r="BK53" s="3"/>
      <c r="BL53" s="3">
        <v>0</v>
      </c>
      <c r="BM53" s="3"/>
      <c r="BN53" s="3">
        <v>0</v>
      </c>
      <c r="BO53" s="3"/>
      <c r="BP53" s="3">
        <v>0</v>
      </c>
      <c r="BQ53" s="3"/>
      <c r="BR53" s="17">
        <f t="shared" si="10"/>
        <v>8062963</v>
      </c>
      <c r="BS53" s="3"/>
      <c r="BT53" s="17">
        <f>GovRev!AV53-BR53</f>
        <v>401020</v>
      </c>
      <c r="BU53" s="3"/>
      <c r="BV53" s="3">
        <v>9617086</v>
      </c>
      <c r="BW53" s="3"/>
      <c r="BX53" s="3">
        <v>0</v>
      </c>
      <c r="BY53" s="3"/>
      <c r="BZ53" s="17">
        <f t="shared" si="9"/>
        <v>10018106</v>
      </c>
      <c r="CA53" s="17"/>
      <c r="CB53" s="17">
        <f>-BZ53+GovBS!AE53</f>
        <v>0</v>
      </c>
      <c r="CE53" s="3"/>
      <c r="CF53" s="3" t="str">
        <f t="shared" si="2"/>
        <v>Stark County Area JVSD</v>
      </c>
      <c r="CG53" s="3" t="b">
        <f t="shared" si="3"/>
        <v>1</v>
      </c>
      <c r="CH53" s="3" t="b">
        <f t="shared" si="4"/>
        <v>1</v>
      </c>
      <c r="CI53" s="20" t="str">
        <f>GovRev!A53</f>
        <v>Stark County Area JVSD</v>
      </c>
      <c r="CJ53" s="20" t="b">
        <f t="shared" si="11"/>
        <v>1</v>
      </c>
      <c r="CL53" s="20" t="str">
        <f t="shared" si="5"/>
        <v>Stark</v>
      </c>
      <c r="CM53" s="20" t="b">
        <f t="shared" si="6"/>
        <v>1</v>
      </c>
      <c r="CN53" s="20" t="b">
        <f t="shared" si="7"/>
        <v>1</v>
      </c>
      <c r="CP53" s="16" t="b">
        <f>C53=GovRev!C53</f>
        <v>1</v>
      </c>
    </row>
    <row r="54" spans="1:94" s="16" customFormat="1">
      <c r="A54" s="3" t="s">
        <v>290</v>
      </c>
      <c r="C54" s="16" t="s">
        <v>220</v>
      </c>
      <c r="G54" s="3">
        <v>1748958</v>
      </c>
      <c r="H54" s="3"/>
      <c r="I54" s="3">
        <v>1098205</v>
      </c>
      <c r="J54" s="3"/>
      <c r="K54" s="3">
        <v>3590264</v>
      </c>
      <c r="L54" s="3"/>
      <c r="M54" s="32">
        <v>362760</v>
      </c>
      <c r="N54" s="3"/>
      <c r="O54" s="3">
        <v>166082</v>
      </c>
      <c r="P54" s="3"/>
      <c r="Q54" s="3">
        <v>815765</v>
      </c>
      <c r="R54" s="3"/>
      <c r="S54" s="3">
        <v>1221915</v>
      </c>
      <c r="T54" s="3"/>
      <c r="U54" s="3">
        <v>85529</v>
      </c>
      <c r="V54" s="3"/>
      <c r="W54" s="3">
        <v>934845</v>
      </c>
      <c r="X54" s="3"/>
      <c r="Y54" s="3">
        <v>387132</v>
      </c>
      <c r="Z54" s="3"/>
      <c r="AA54" s="3">
        <v>0</v>
      </c>
      <c r="AB54" s="3"/>
      <c r="AC54" s="3">
        <v>1403492</v>
      </c>
      <c r="AD54" s="3"/>
      <c r="AE54" s="3" t="s">
        <v>290</v>
      </c>
      <c r="AG54" s="16" t="s">
        <v>220</v>
      </c>
      <c r="AI54" s="3">
        <v>17080</v>
      </c>
      <c r="AJ54" s="3"/>
      <c r="AK54" s="3">
        <v>31454</v>
      </c>
      <c r="AL54" s="3"/>
      <c r="AM54" s="3">
        <v>0</v>
      </c>
      <c r="AN54" s="3"/>
      <c r="AO54" s="3">
        <v>0</v>
      </c>
      <c r="AP54" s="3"/>
      <c r="AQ54" s="3">
        <v>300617</v>
      </c>
      <c r="AR54" s="3"/>
      <c r="AS54" s="3">
        <v>36784</v>
      </c>
      <c r="AT54" s="3"/>
      <c r="AU54" s="3">
        <v>2264</v>
      </c>
      <c r="AV54" s="3"/>
      <c r="AW54" s="3">
        <v>0</v>
      </c>
      <c r="AX54" s="3"/>
      <c r="AY54" s="3">
        <v>651456</v>
      </c>
      <c r="AZ54" s="3"/>
      <c r="BA54" s="3">
        <v>208363</v>
      </c>
      <c r="BB54" s="3"/>
      <c r="BC54" s="3">
        <v>0</v>
      </c>
      <c r="BD54" s="3"/>
      <c r="BE54" s="17">
        <f t="shared" si="8"/>
        <v>13062965</v>
      </c>
      <c r="BF54" s="3" t="s">
        <v>290</v>
      </c>
      <c r="BH54" s="16" t="s">
        <v>220</v>
      </c>
      <c r="BI54" s="3"/>
      <c r="BJ54" s="3">
        <v>899875</v>
      </c>
      <c r="BK54" s="3"/>
      <c r="BL54" s="3">
        <v>0</v>
      </c>
      <c r="BM54" s="3"/>
      <c r="BN54" s="3">
        <v>0</v>
      </c>
      <c r="BO54" s="3"/>
      <c r="BP54" s="3">
        <v>0</v>
      </c>
      <c r="BQ54" s="3"/>
      <c r="BR54" s="17">
        <f t="shared" si="10"/>
        <v>13962840</v>
      </c>
      <c r="BS54" s="3"/>
      <c r="BT54" s="17">
        <f>GovRev!AV54-BR54</f>
        <v>-344006</v>
      </c>
      <c r="BU54" s="3"/>
      <c r="BV54" s="3">
        <v>7662296</v>
      </c>
      <c r="BW54" s="3"/>
      <c r="BX54" s="3">
        <v>0</v>
      </c>
      <c r="BY54" s="3"/>
      <c r="BZ54" s="17">
        <f t="shared" si="9"/>
        <v>7318290</v>
      </c>
      <c r="CA54" s="17"/>
      <c r="CB54" s="17">
        <f>-BZ54+GovBS!AE54</f>
        <v>0</v>
      </c>
      <c r="CE54" s="3"/>
      <c r="CF54" s="3" t="str">
        <f t="shared" si="2"/>
        <v>Tolles Career and Technical Center</v>
      </c>
      <c r="CG54" s="3" t="b">
        <f t="shared" si="3"/>
        <v>1</v>
      </c>
      <c r="CH54" s="3" t="b">
        <f t="shared" si="4"/>
        <v>1</v>
      </c>
      <c r="CI54" s="20" t="str">
        <f>GovRev!A54</f>
        <v>Tolles Career and Technical Center</v>
      </c>
      <c r="CJ54" s="20" t="b">
        <f t="shared" si="11"/>
        <v>1</v>
      </c>
      <c r="CL54" s="20" t="str">
        <f t="shared" si="5"/>
        <v>Madison</v>
      </c>
      <c r="CM54" s="20" t="b">
        <f t="shared" si="6"/>
        <v>1</v>
      </c>
      <c r="CN54" s="20" t="b">
        <f t="shared" si="7"/>
        <v>1</v>
      </c>
      <c r="CP54" s="16" t="b">
        <f>C54=GovRev!C54</f>
        <v>1</v>
      </c>
    </row>
    <row r="55" spans="1:94" s="16" customFormat="1">
      <c r="A55" s="3" t="s">
        <v>312</v>
      </c>
      <c r="C55" s="16" t="s">
        <v>148</v>
      </c>
      <c r="E55" s="16">
        <v>51607</v>
      </c>
      <c r="G55" s="3">
        <v>394644</v>
      </c>
      <c r="H55" s="3"/>
      <c r="I55" s="3">
        <v>0</v>
      </c>
      <c r="J55" s="3"/>
      <c r="K55" s="3">
        <v>3716788</v>
      </c>
      <c r="L55" s="3"/>
      <c r="M55" s="32">
        <v>292242</v>
      </c>
      <c r="N55" s="3"/>
      <c r="O55" s="3">
        <v>0</v>
      </c>
      <c r="P55" s="3"/>
      <c r="Q55" s="3">
        <v>436581</v>
      </c>
      <c r="R55" s="3"/>
      <c r="S55" s="3">
        <v>110847</v>
      </c>
      <c r="T55" s="3"/>
      <c r="U55" s="3">
        <v>175840</v>
      </c>
      <c r="V55" s="3"/>
      <c r="W55" s="3">
        <v>1002632</v>
      </c>
      <c r="X55" s="3"/>
      <c r="Y55" s="3">
        <v>499354</v>
      </c>
      <c r="Z55" s="3"/>
      <c r="AA55" s="3">
        <v>72657</v>
      </c>
      <c r="AB55" s="3"/>
      <c r="AC55" s="3">
        <v>943895</v>
      </c>
      <c r="AD55" s="3"/>
      <c r="AE55" s="3" t="s">
        <v>312</v>
      </c>
      <c r="AG55" s="16" t="s">
        <v>148</v>
      </c>
      <c r="AI55" s="3">
        <v>1433</v>
      </c>
      <c r="AJ55" s="3"/>
      <c r="AK55" s="3">
        <v>170351</v>
      </c>
      <c r="AL55" s="3"/>
      <c r="AM55" s="3">
        <v>0</v>
      </c>
      <c r="AN55" s="3"/>
      <c r="AO55" s="3">
        <v>0</v>
      </c>
      <c r="AP55" s="3"/>
      <c r="AQ55" s="3">
        <v>195411</v>
      </c>
      <c r="AR55" s="3"/>
      <c r="AS55" s="3">
        <v>3347</v>
      </c>
      <c r="AT55" s="3"/>
      <c r="AU55" s="3">
        <v>0</v>
      </c>
      <c r="AV55" s="3"/>
      <c r="AW55" s="3">
        <v>0</v>
      </c>
      <c r="AX55" s="3"/>
      <c r="AY55" s="3">
        <v>0</v>
      </c>
      <c r="AZ55" s="3"/>
      <c r="BA55" s="3">
        <v>0</v>
      </c>
      <c r="BB55" s="3"/>
      <c r="BC55" s="3">
        <v>0</v>
      </c>
      <c r="BD55" s="3"/>
      <c r="BE55" s="17">
        <f t="shared" si="8"/>
        <v>8016022</v>
      </c>
      <c r="BF55" s="3" t="s">
        <v>312</v>
      </c>
      <c r="BH55" s="16" t="s">
        <v>148</v>
      </c>
      <c r="BI55" s="3"/>
      <c r="BJ55" s="3">
        <v>225000</v>
      </c>
      <c r="BK55" s="3"/>
      <c r="BL55" s="3">
        <v>0</v>
      </c>
      <c r="BM55" s="3"/>
      <c r="BN55" s="3">
        <v>0</v>
      </c>
      <c r="BO55" s="3"/>
      <c r="BP55" s="3">
        <v>0</v>
      </c>
      <c r="BQ55" s="3"/>
      <c r="BR55" s="17">
        <f t="shared" si="10"/>
        <v>8241022</v>
      </c>
      <c r="BS55" s="3"/>
      <c r="BT55" s="17">
        <f>GovRev!AV55-BR55</f>
        <v>610560</v>
      </c>
      <c r="BU55" s="3"/>
      <c r="BV55" s="3">
        <v>2651748</v>
      </c>
      <c r="BW55" s="3"/>
      <c r="BX55" s="3">
        <v>0</v>
      </c>
      <c r="BY55" s="3"/>
      <c r="BZ55" s="17">
        <f t="shared" si="9"/>
        <v>3262308</v>
      </c>
      <c r="CA55" s="17"/>
      <c r="CB55" s="17">
        <f>-BZ55+GovBS!AE55</f>
        <v>0</v>
      </c>
      <c r="CE55" s="3"/>
      <c r="CF55" s="3" t="str">
        <f t="shared" si="2"/>
        <v>Tri County Career Center</v>
      </c>
      <c r="CG55" s="3" t="b">
        <f t="shared" si="3"/>
        <v>1</v>
      </c>
      <c r="CH55" s="3" t="b">
        <f t="shared" si="4"/>
        <v>1</v>
      </c>
      <c r="CI55" s="20" t="str">
        <f>GovRev!A55</f>
        <v>Tri County Career Center</v>
      </c>
      <c r="CJ55" s="20" t="b">
        <f t="shared" si="11"/>
        <v>1</v>
      </c>
      <c r="CL55" s="20" t="str">
        <f t="shared" si="5"/>
        <v>Athens</v>
      </c>
      <c r="CM55" s="20" t="b">
        <f t="shared" si="6"/>
        <v>1</v>
      </c>
      <c r="CN55" s="20" t="b">
        <f t="shared" si="7"/>
        <v>1</v>
      </c>
      <c r="CP55" s="16" t="b">
        <f>C55=GovRev!C55</f>
        <v>1</v>
      </c>
    </row>
    <row r="56" spans="1:94" s="16" customFormat="1">
      <c r="A56" s="3" t="s">
        <v>221</v>
      </c>
      <c r="C56" s="16" t="s">
        <v>222</v>
      </c>
      <c r="E56" s="16">
        <v>65268</v>
      </c>
      <c r="G56" s="3">
        <v>275550</v>
      </c>
      <c r="H56" s="3"/>
      <c r="I56" s="3">
        <v>0</v>
      </c>
      <c r="J56" s="3"/>
      <c r="K56" s="3">
        <v>5526213</v>
      </c>
      <c r="L56" s="3"/>
      <c r="M56" s="32">
        <v>65339</v>
      </c>
      <c r="N56" s="3"/>
      <c r="O56" s="3">
        <v>0</v>
      </c>
      <c r="P56" s="3"/>
      <c r="Q56" s="3">
        <v>739052</v>
      </c>
      <c r="R56" s="3"/>
      <c r="S56" s="3">
        <v>478903</v>
      </c>
      <c r="T56" s="3"/>
      <c r="U56" s="3">
        <v>91285</v>
      </c>
      <c r="V56" s="3"/>
      <c r="W56" s="3">
        <v>842405</v>
      </c>
      <c r="X56" s="3"/>
      <c r="Y56" s="3">
        <v>379472</v>
      </c>
      <c r="Z56" s="3"/>
      <c r="AA56" s="3">
        <v>212787</v>
      </c>
      <c r="AB56" s="3"/>
      <c r="AC56" s="3">
        <v>966107</v>
      </c>
      <c r="AD56" s="3"/>
      <c r="AE56" s="3" t="s">
        <v>221</v>
      </c>
      <c r="AG56" s="16" t="s">
        <v>222</v>
      </c>
      <c r="AI56" s="3">
        <v>10766</v>
      </c>
      <c r="AJ56" s="3"/>
      <c r="AK56" s="3">
        <v>659798</v>
      </c>
      <c r="AL56" s="3"/>
      <c r="AM56" s="3">
        <v>0</v>
      </c>
      <c r="AN56" s="3"/>
      <c r="AO56" s="3">
        <v>0</v>
      </c>
      <c r="AP56" s="3"/>
      <c r="AQ56" s="3">
        <v>766</v>
      </c>
      <c r="AR56" s="3"/>
      <c r="AS56" s="3">
        <v>26007</v>
      </c>
      <c r="AT56" s="3"/>
      <c r="AU56" s="3">
        <v>95146</v>
      </c>
      <c r="AV56" s="3"/>
      <c r="AW56" s="3">
        <v>0</v>
      </c>
      <c r="AX56" s="3"/>
      <c r="AY56" s="3">
        <v>44545</v>
      </c>
      <c r="AZ56" s="3"/>
      <c r="BA56" s="3">
        <v>3710</v>
      </c>
      <c r="BB56" s="3"/>
      <c r="BC56" s="3">
        <v>0</v>
      </c>
      <c r="BD56" s="3"/>
      <c r="BE56" s="17">
        <f t="shared" si="8"/>
        <v>10417851</v>
      </c>
      <c r="BF56" s="3" t="s">
        <v>221</v>
      </c>
      <c r="BH56" s="16" t="s">
        <v>222</v>
      </c>
      <c r="BI56" s="3"/>
      <c r="BJ56" s="3">
        <v>155665</v>
      </c>
      <c r="BK56" s="3"/>
      <c r="BL56" s="3">
        <v>0</v>
      </c>
      <c r="BM56" s="3"/>
      <c r="BN56" s="3">
        <v>0</v>
      </c>
      <c r="BO56" s="3"/>
      <c r="BP56" s="3">
        <v>0</v>
      </c>
      <c r="BQ56" s="3"/>
      <c r="BR56" s="17">
        <f t="shared" si="10"/>
        <v>10573516</v>
      </c>
      <c r="BS56" s="3"/>
      <c r="BT56" s="17">
        <f>GovRev!AV56-BR56</f>
        <v>878714</v>
      </c>
      <c r="BU56" s="3"/>
      <c r="BV56" s="3">
        <v>3237409</v>
      </c>
      <c r="BW56" s="3"/>
      <c r="BX56" s="3">
        <v>0</v>
      </c>
      <c r="BY56" s="3"/>
      <c r="BZ56" s="17">
        <f t="shared" si="9"/>
        <v>4116123</v>
      </c>
      <c r="CA56" s="17"/>
      <c r="CB56" s="17">
        <f>-BZ56+GovBS!AE56</f>
        <v>0</v>
      </c>
      <c r="CE56" s="3"/>
      <c r="CF56" s="3" t="str">
        <f t="shared" si="2"/>
        <v>Tri-Rivers JVSD</v>
      </c>
      <c r="CG56" s="3" t="b">
        <f t="shared" si="3"/>
        <v>1</v>
      </c>
      <c r="CH56" s="3" t="b">
        <f t="shared" si="4"/>
        <v>1</v>
      </c>
      <c r="CI56" s="20" t="str">
        <f>GovRev!A56</f>
        <v>Tri-Rivers JVSD</v>
      </c>
      <c r="CJ56" s="20" t="b">
        <f t="shared" si="11"/>
        <v>1</v>
      </c>
      <c r="CL56" s="20" t="str">
        <f t="shared" si="5"/>
        <v>Marion</v>
      </c>
      <c r="CM56" s="20" t="b">
        <f t="shared" si="6"/>
        <v>1</v>
      </c>
      <c r="CN56" s="20" t="b">
        <f t="shared" si="7"/>
        <v>1</v>
      </c>
      <c r="CP56" s="16" t="b">
        <f>C56=GovRev!C56</f>
        <v>1</v>
      </c>
    </row>
    <row r="57" spans="1:94" s="16" customFormat="1">
      <c r="A57" s="3" t="s">
        <v>313</v>
      </c>
      <c r="C57" s="16" t="s">
        <v>201</v>
      </c>
      <c r="E57" s="16">
        <v>51631</v>
      </c>
      <c r="G57" s="3">
        <v>1896048</v>
      </c>
      <c r="H57" s="3"/>
      <c r="I57" s="3">
        <v>593717</v>
      </c>
      <c r="J57" s="3"/>
      <c r="K57" s="3">
        <v>5305239</v>
      </c>
      <c r="L57" s="3"/>
      <c r="M57" s="32">
        <v>215734</v>
      </c>
      <c r="N57" s="3"/>
      <c r="O57" s="3">
        <v>0</v>
      </c>
      <c r="P57" s="3"/>
      <c r="Q57" s="3">
        <v>1422379</v>
      </c>
      <c r="R57" s="3"/>
      <c r="S57" s="3">
        <v>430787</v>
      </c>
      <c r="T57" s="3"/>
      <c r="U57" s="3">
        <v>70243</v>
      </c>
      <c r="V57" s="3"/>
      <c r="W57" s="3">
        <v>1849152</v>
      </c>
      <c r="X57" s="3"/>
      <c r="Y57" s="3">
        <v>525506</v>
      </c>
      <c r="Z57" s="3"/>
      <c r="AA57" s="3">
        <v>40901</v>
      </c>
      <c r="AB57" s="3"/>
      <c r="AC57" s="3">
        <v>1091968</v>
      </c>
      <c r="AD57" s="3"/>
      <c r="AE57" s="3" t="s">
        <v>313</v>
      </c>
      <c r="AG57" s="16" t="s">
        <v>201</v>
      </c>
      <c r="AI57" s="3">
        <v>126451</v>
      </c>
      <c r="AJ57" s="3"/>
      <c r="AK57" s="3">
        <v>135573</v>
      </c>
      <c r="AL57" s="3"/>
      <c r="AM57" s="3">
        <v>0</v>
      </c>
      <c r="AN57" s="3"/>
      <c r="AO57" s="3">
        <v>401895</v>
      </c>
      <c r="AP57" s="3"/>
      <c r="AQ57" s="3">
        <v>8748</v>
      </c>
      <c r="AR57" s="3"/>
      <c r="AS57" s="3">
        <v>106672</v>
      </c>
      <c r="AT57" s="3"/>
      <c r="AU57" s="3">
        <v>72272</v>
      </c>
      <c r="AV57" s="3"/>
      <c r="AW57" s="3">
        <v>0</v>
      </c>
      <c r="AX57" s="3"/>
      <c r="AY57" s="3">
        <v>158000</v>
      </c>
      <c r="AZ57" s="3"/>
      <c r="BA57" s="3">
        <v>269106</v>
      </c>
      <c r="BB57" s="3"/>
      <c r="BC57" s="3">
        <v>0</v>
      </c>
      <c r="BD57" s="3"/>
      <c r="BE57" s="17">
        <f t="shared" si="8"/>
        <v>14720391</v>
      </c>
      <c r="BF57" s="3" t="s">
        <v>313</v>
      </c>
      <c r="BH57" s="16" t="s">
        <v>201</v>
      </c>
      <c r="BI57" s="3"/>
      <c r="BJ57" s="3">
        <v>386500</v>
      </c>
      <c r="BK57" s="3"/>
      <c r="BL57" s="3">
        <v>0</v>
      </c>
      <c r="BM57" s="3"/>
      <c r="BN57" s="3">
        <v>0</v>
      </c>
      <c r="BO57" s="3"/>
      <c r="BP57" s="3">
        <v>0</v>
      </c>
      <c r="BQ57" s="3"/>
      <c r="BR57" s="17">
        <f t="shared" si="10"/>
        <v>15106891</v>
      </c>
      <c r="BS57" s="3"/>
      <c r="BT57" s="17">
        <f>GovRev!AV57-BR57</f>
        <v>-84004</v>
      </c>
      <c r="BU57" s="3"/>
      <c r="BV57" s="3">
        <v>9761670</v>
      </c>
      <c r="BW57" s="3"/>
      <c r="BX57" s="3">
        <v>0</v>
      </c>
      <c r="BY57" s="3"/>
      <c r="BZ57" s="17">
        <f t="shared" si="9"/>
        <v>9677666</v>
      </c>
      <c r="CA57" s="17"/>
      <c r="CB57" s="17">
        <f>-BZ57+GovBS!AE57</f>
        <v>0</v>
      </c>
      <c r="CE57" s="3"/>
      <c r="CF57" s="3" t="str">
        <f t="shared" si="2"/>
        <v>Trumbull Career &amp; Tech Center</v>
      </c>
      <c r="CG57" s="3" t="b">
        <f t="shared" si="3"/>
        <v>1</v>
      </c>
      <c r="CH57" s="3" t="b">
        <f t="shared" si="4"/>
        <v>1</v>
      </c>
      <c r="CI57" s="20" t="str">
        <f>GovRev!A57</f>
        <v>Trumbull Career &amp; Tech Center</v>
      </c>
      <c r="CJ57" s="20" t="b">
        <f t="shared" si="11"/>
        <v>1</v>
      </c>
      <c r="CL57" s="20" t="str">
        <f t="shared" si="5"/>
        <v>Trumbull</v>
      </c>
      <c r="CM57" s="20" t="b">
        <f t="shared" si="6"/>
        <v>1</v>
      </c>
      <c r="CN57" s="20" t="b">
        <f t="shared" si="7"/>
        <v>1</v>
      </c>
      <c r="CP57" s="16" t="b">
        <f>C57=GovRev!C57</f>
        <v>1</v>
      </c>
    </row>
    <row r="58" spans="1:94" s="16" customFormat="1">
      <c r="A58" s="3" t="s">
        <v>212</v>
      </c>
      <c r="C58" s="16" t="s">
        <v>157</v>
      </c>
      <c r="E58" s="16">
        <v>62802</v>
      </c>
      <c r="G58" s="3">
        <v>261717</v>
      </c>
      <c r="H58" s="3"/>
      <c r="I58" s="3">
        <v>133222</v>
      </c>
      <c r="J58" s="3"/>
      <c r="K58" s="3">
        <v>3688772</v>
      </c>
      <c r="L58" s="3"/>
      <c r="M58" s="32">
        <v>279815</v>
      </c>
      <c r="N58" s="3"/>
      <c r="O58" s="3">
        <v>0</v>
      </c>
      <c r="P58" s="3"/>
      <c r="Q58" s="3">
        <v>540361</v>
      </c>
      <c r="R58" s="3"/>
      <c r="S58" s="3">
        <v>166833</v>
      </c>
      <c r="T58" s="3"/>
      <c r="U58" s="3">
        <v>61258</v>
      </c>
      <c r="V58" s="3"/>
      <c r="W58" s="3">
        <v>406762</v>
      </c>
      <c r="X58" s="3"/>
      <c r="Y58" s="3">
        <v>466494</v>
      </c>
      <c r="Z58" s="3"/>
      <c r="AA58" s="3">
        <v>2546</v>
      </c>
      <c r="AB58" s="3"/>
      <c r="AC58" s="3">
        <v>689112</v>
      </c>
      <c r="AD58" s="3"/>
      <c r="AE58" s="3" t="s">
        <v>212</v>
      </c>
      <c r="AG58" s="16" t="s">
        <v>157</v>
      </c>
      <c r="AI58" s="3">
        <v>0</v>
      </c>
      <c r="AJ58" s="3"/>
      <c r="AK58" s="3">
        <v>101894</v>
      </c>
      <c r="AL58" s="3"/>
      <c r="AM58" s="3">
        <v>0</v>
      </c>
      <c r="AN58" s="3"/>
      <c r="AO58" s="3">
        <v>0</v>
      </c>
      <c r="AP58" s="3"/>
      <c r="AQ58" s="3">
        <v>186592</v>
      </c>
      <c r="AR58" s="3"/>
      <c r="AS58" s="3">
        <v>42697</v>
      </c>
      <c r="AT58" s="3"/>
      <c r="AU58" s="3">
        <v>0</v>
      </c>
      <c r="AV58" s="3"/>
      <c r="AW58" s="3">
        <v>0</v>
      </c>
      <c r="AX58" s="3"/>
      <c r="AY58" s="3">
        <v>0</v>
      </c>
      <c r="AZ58" s="3"/>
      <c r="BA58" s="3">
        <v>0</v>
      </c>
      <c r="BB58" s="3"/>
      <c r="BC58" s="3">
        <v>0</v>
      </c>
      <c r="BD58" s="3"/>
      <c r="BE58" s="17">
        <f t="shared" si="8"/>
        <v>7028075</v>
      </c>
      <c r="BF58" s="3" t="s">
        <v>212</v>
      </c>
      <c r="BH58" s="16" t="s">
        <v>157</v>
      </c>
      <c r="BI58" s="3"/>
      <c r="BJ58" s="3">
        <v>75000</v>
      </c>
      <c r="BK58" s="3"/>
      <c r="BL58" s="3">
        <v>0</v>
      </c>
      <c r="BM58" s="3"/>
      <c r="BN58" s="3">
        <v>0</v>
      </c>
      <c r="BO58" s="3"/>
      <c r="BP58" s="3">
        <v>0</v>
      </c>
      <c r="BQ58" s="3"/>
      <c r="BR58" s="17">
        <f t="shared" si="10"/>
        <v>7103075</v>
      </c>
      <c r="BS58" s="3"/>
      <c r="BT58" s="17">
        <f>GovRev!AV58-BR58</f>
        <v>1482852</v>
      </c>
      <c r="BU58" s="3"/>
      <c r="BV58" s="3">
        <v>8633878</v>
      </c>
      <c r="BW58" s="3"/>
      <c r="BX58" s="3">
        <v>0</v>
      </c>
      <c r="BY58" s="3"/>
      <c r="BZ58" s="17">
        <f t="shared" si="9"/>
        <v>10116730</v>
      </c>
      <c r="CA58" s="17"/>
      <c r="CB58" s="17">
        <f>-BZ58+GovBS!AE58</f>
        <v>0</v>
      </c>
      <c r="CE58" s="3"/>
      <c r="CF58" s="3" t="str">
        <f t="shared" si="2"/>
        <v>U S Grant JVSD</v>
      </c>
      <c r="CG58" s="3" t="b">
        <f t="shared" si="3"/>
        <v>1</v>
      </c>
      <c r="CH58" s="3" t="b">
        <f t="shared" si="4"/>
        <v>1</v>
      </c>
      <c r="CI58" s="20" t="str">
        <f>GovRev!A58</f>
        <v>U S Grant JVSD</v>
      </c>
      <c r="CJ58" s="20" t="b">
        <f t="shared" si="11"/>
        <v>1</v>
      </c>
      <c r="CL58" s="20" t="str">
        <f t="shared" si="5"/>
        <v>Clermont</v>
      </c>
      <c r="CM58" s="20" t="b">
        <f t="shared" si="6"/>
        <v>1</v>
      </c>
      <c r="CN58" s="20" t="b">
        <f t="shared" si="7"/>
        <v>1</v>
      </c>
      <c r="CP58" s="16" t="b">
        <f>C58=GovRev!C58</f>
        <v>1</v>
      </c>
    </row>
    <row r="59" spans="1:94" s="16" customFormat="1">
      <c r="A59" s="3" t="s">
        <v>224</v>
      </c>
      <c r="C59" s="16" t="s">
        <v>183</v>
      </c>
      <c r="E59" s="16">
        <v>62125</v>
      </c>
      <c r="G59" s="3">
        <v>2073939</v>
      </c>
      <c r="H59" s="3"/>
      <c r="I59" s="3">
        <v>1053596</v>
      </c>
      <c r="J59" s="3"/>
      <c r="K59" s="3">
        <v>9035897</v>
      </c>
      <c r="L59" s="3"/>
      <c r="M59" s="32">
        <v>1635553</v>
      </c>
      <c r="N59" s="3"/>
      <c r="O59" s="3">
        <v>32988</v>
      </c>
      <c r="P59" s="3"/>
      <c r="Q59" s="3">
        <v>894786</v>
      </c>
      <c r="R59" s="3"/>
      <c r="S59" s="3">
        <v>345165</v>
      </c>
      <c r="T59" s="3"/>
      <c r="U59" s="3">
        <v>60261</v>
      </c>
      <c r="V59" s="3"/>
      <c r="W59" s="3">
        <v>2612608</v>
      </c>
      <c r="X59" s="3"/>
      <c r="Y59" s="3">
        <v>533245</v>
      </c>
      <c r="Z59" s="3"/>
      <c r="AA59" s="3">
        <v>178217</v>
      </c>
      <c r="AB59" s="3"/>
      <c r="AC59" s="3">
        <v>1357019</v>
      </c>
      <c r="AD59" s="3"/>
      <c r="AE59" s="3" t="s">
        <v>224</v>
      </c>
      <c r="AG59" s="16" t="s">
        <v>183</v>
      </c>
      <c r="AI59" s="3">
        <v>56432</v>
      </c>
      <c r="AJ59" s="3"/>
      <c r="AK59" s="3">
        <v>949188</v>
      </c>
      <c r="AL59" s="3"/>
      <c r="AM59" s="3">
        <v>0</v>
      </c>
      <c r="AN59" s="3"/>
      <c r="AO59" s="3">
        <v>0</v>
      </c>
      <c r="AP59" s="3"/>
      <c r="AQ59" s="3">
        <v>1137805</v>
      </c>
      <c r="AR59" s="3"/>
      <c r="AS59" s="3">
        <v>42858</v>
      </c>
      <c r="AT59" s="3"/>
      <c r="AU59" s="3">
        <v>4424179</v>
      </c>
      <c r="AV59" s="3"/>
      <c r="AW59" s="3">
        <v>0</v>
      </c>
      <c r="AX59" s="3"/>
      <c r="AY59" s="3">
        <v>710000</v>
      </c>
      <c r="AZ59" s="3"/>
      <c r="BA59" s="3">
        <v>175216</v>
      </c>
      <c r="BB59" s="3"/>
      <c r="BC59" s="3">
        <v>0</v>
      </c>
      <c r="BD59" s="3"/>
      <c r="BE59" s="17">
        <f t="shared" si="8"/>
        <v>27308952</v>
      </c>
      <c r="BF59" s="3" t="s">
        <v>224</v>
      </c>
      <c r="BH59" s="16" t="s">
        <v>183</v>
      </c>
      <c r="BI59" s="3"/>
      <c r="BJ59" s="3">
        <v>438500</v>
      </c>
      <c r="BK59" s="3"/>
      <c r="BL59" s="3">
        <v>0</v>
      </c>
      <c r="BM59" s="3"/>
      <c r="BN59" s="3">
        <v>0</v>
      </c>
      <c r="BO59" s="3"/>
      <c r="BP59" s="3">
        <v>0</v>
      </c>
      <c r="BQ59" s="3"/>
      <c r="BR59" s="17">
        <f t="shared" si="10"/>
        <v>27747452</v>
      </c>
      <c r="BS59" s="3"/>
      <c r="BT59" s="17">
        <f>GovRev!AV59-BR59</f>
        <v>-122453</v>
      </c>
      <c r="BU59" s="3"/>
      <c r="BV59" s="3">
        <v>14759947</v>
      </c>
      <c r="BW59" s="3"/>
      <c r="BX59" s="3">
        <v>0</v>
      </c>
      <c r="BY59" s="3"/>
      <c r="BZ59" s="17">
        <f t="shared" si="9"/>
        <v>14637494</v>
      </c>
      <c r="CA59" s="17"/>
      <c r="CB59" s="17">
        <f>-BZ59+GovBS!AE59</f>
        <v>0</v>
      </c>
      <c r="CE59" s="3"/>
      <c r="CF59" s="3" t="str">
        <f t="shared" si="2"/>
        <v>Upper Valley JVSD</v>
      </c>
      <c r="CG59" s="3" t="b">
        <f t="shared" si="3"/>
        <v>1</v>
      </c>
      <c r="CH59" s="3" t="b">
        <f t="shared" si="4"/>
        <v>1</v>
      </c>
      <c r="CI59" s="20" t="str">
        <f>GovRev!A59</f>
        <v>Upper Valley JVSD</v>
      </c>
      <c r="CJ59" s="20" t="b">
        <f t="shared" si="11"/>
        <v>1</v>
      </c>
      <c r="CL59" s="20" t="str">
        <f t="shared" si="5"/>
        <v>Miami</v>
      </c>
      <c r="CM59" s="20" t="b">
        <f t="shared" si="6"/>
        <v>1</v>
      </c>
      <c r="CN59" s="20" t="b">
        <f t="shared" si="7"/>
        <v>1</v>
      </c>
      <c r="CP59" s="16" t="b">
        <f>C59=GovRev!C59</f>
        <v>1</v>
      </c>
    </row>
    <row r="60" spans="1:94" s="16" customFormat="1">
      <c r="A60" s="3" t="s">
        <v>261</v>
      </c>
      <c r="C60" s="16" t="s">
        <v>195</v>
      </c>
      <c r="E60" s="16">
        <v>51458</v>
      </c>
      <c r="G60" s="3">
        <v>149018</v>
      </c>
      <c r="H60" s="3"/>
      <c r="I60" s="3">
        <v>134826</v>
      </c>
      <c r="J60" s="3"/>
      <c r="K60" s="3">
        <v>8378711</v>
      </c>
      <c r="L60" s="3"/>
      <c r="M60" s="32">
        <v>615003</v>
      </c>
      <c r="N60" s="3"/>
      <c r="O60" s="3">
        <v>0</v>
      </c>
      <c r="P60" s="3"/>
      <c r="Q60" s="3">
        <v>584075</v>
      </c>
      <c r="R60" s="3"/>
      <c r="S60" s="3">
        <v>817269</v>
      </c>
      <c r="T60" s="3"/>
      <c r="U60" s="3">
        <v>95192</v>
      </c>
      <c r="V60" s="3"/>
      <c r="W60" s="3">
        <v>777533</v>
      </c>
      <c r="X60" s="3"/>
      <c r="Y60" s="3">
        <v>499531</v>
      </c>
      <c r="Z60" s="3"/>
      <c r="AA60" s="3">
        <v>0</v>
      </c>
      <c r="AB60" s="3"/>
      <c r="AC60" s="3">
        <v>1336521</v>
      </c>
      <c r="AD60" s="3"/>
      <c r="AE60" s="3" t="s">
        <v>261</v>
      </c>
      <c r="AG60" s="16" t="s">
        <v>195</v>
      </c>
      <c r="AI60" s="3">
        <v>70979</v>
      </c>
      <c r="AJ60" s="3"/>
      <c r="AK60" s="3">
        <v>0</v>
      </c>
      <c r="AL60" s="3"/>
      <c r="AM60" s="3">
        <v>0</v>
      </c>
      <c r="AN60" s="3"/>
      <c r="AO60" s="3">
        <v>174660</v>
      </c>
      <c r="AP60" s="3"/>
      <c r="AQ60" s="3">
        <v>236</v>
      </c>
      <c r="AR60" s="3"/>
      <c r="AS60" s="3">
        <v>8736</v>
      </c>
      <c r="AT60" s="3"/>
      <c r="AU60" s="3">
        <v>4664224</v>
      </c>
      <c r="AV60" s="3"/>
      <c r="AW60" s="3">
        <v>0</v>
      </c>
      <c r="AX60" s="3"/>
      <c r="AY60" s="3">
        <v>333812</v>
      </c>
      <c r="AZ60" s="3"/>
      <c r="BA60" s="3">
        <v>115676</v>
      </c>
      <c r="BB60" s="3"/>
      <c r="BC60" s="3">
        <v>0</v>
      </c>
      <c r="BD60" s="3"/>
      <c r="BE60" s="17">
        <f t="shared" si="8"/>
        <v>18756002</v>
      </c>
      <c r="BF60" s="3" t="s">
        <v>261</v>
      </c>
      <c r="BH60" s="16" t="s">
        <v>195</v>
      </c>
      <c r="BI60" s="3"/>
      <c r="BJ60" s="3">
        <v>1505100</v>
      </c>
      <c r="BK60" s="3"/>
      <c r="BL60" s="3">
        <v>0</v>
      </c>
      <c r="BM60" s="3"/>
      <c r="BN60" s="3">
        <v>0</v>
      </c>
      <c r="BO60" s="3"/>
      <c r="BP60" s="3">
        <v>0</v>
      </c>
      <c r="BQ60" s="3"/>
      <c r="BR60" s="17">
        <f t="shared" si="10"/>
        <v>20261102</v>
      </c>
      <c r="BS60" s="3"/>
      <c r="BT60" s="17">
        <f>GovRev!AV60-BR60</f>
        <v>6530734</v>
      </c>
      <c r="BU60" s="3"/>
      <c r="BV60" s="3">
        <v>23755910</v>
      </c>
      <c r="BW60" s="3"/>
      <c r="BX60" s="3">
        <v>0</v>
      </c>
      <c r="BY60" s="3"/>
      <c r="BZ60" s="17">
        <f t="shared" si="9"/>
        <v>30286644</v>
      </c>
      <c r="CA60" s="17"/>
      <c r="CB60" s="17">
        <f>-BZ60+GovBS!AE60</f>
        <v>0</v>
      </c>
      <c r="CE60" s="32"/>
      <c r="CF60" s="3" t="str">
        <f t="shared" si="2"/>
        <v>Vanguard-Sentinel Career Center</v>
      </c>
      <c r="CG60" s="3" t="b">
        <f t="shared" si="3"/>
        <v>1</v>
      </c>
      <c r="CH60" s="3" t="b">
        <f t="shared" si="4"/>
        <v>1</v>
      </c>
      <c r="CI60" s="20" t="str">
        <f>GovRev!A60</f>
        <v>Vanguard-Sentinel Career Center</v>
      </c>
      <c r="CJ60" s="20" t="b">
        <f t="shared" si="11"/>
        <v>1</v>
      </c>
      <c r="CL60" s="20" t="str">
        <f t="shared" si="5"/>
        <v>Sandusky</v>
      </c>
      <c r="CM60" s="20" t="b">
        <f t="shared" si="6"/>
        <v>1</v>
      </c>
      <c r="CN60" s="20" t="b">
        <f t="shared" si="7"/>
        <v>1</v>
      </c>
      <c r="CP60" s="16" t="b">
        <f>C60=GovRev!C60</f>
        <v>1</v>
      </c>
    </row>
    <row r="61" spans="1:94" s="16" customFormat="1">
      <c r="A61" s="3" t="s">
        <v>262</v>
      </c>
      <c r="C61" s="16" t="s">
        <v>204</v>
      </c>
      <c r="E61" s="16">
        <v>51672</v>
      </c>
      <c r="G61" s="3">
        <v>0</v>
      </c>
      <c r="H61" s="3"/>
      <c r="I61" s="3">
        <v>0</v>
      </c>
      <c r="J61" s="3"/>
      <c r="K61" s="3">
        <v>5045013</v>
      </c>
      <c r="L61" s="3"/>
      <c r="M61" s="32">
        <v>853435</v>
      </c>
      <c r="N61" s="3"/>
      <c r="O61" s="3">
        <v>0</v>
      </c>
      <c r="P61" s="3"/>
      <c r="Q61" s="3">
        <v>542725</v>
      </c>
      <c r="R61" s="3"/>
      <c r="S61" s="3">
        <v>277285</v>
      </c>
      <c r="T61" s="3"/>
      <c r="U61" s="3">
        <v>97243</v>
      </c>
      <c r="V61" s="3"/>
      <c r="W61" s="3">
        <v>499552</v>
      </c>
      <c r="X61" s="3"/>
      <c r="Y61" s="3">
        <v>361196</v>
      </c>
      <c r="Z61" s="3"/>
      <c r="AA61" s="3">
        <v>17935</v>
      </c>
      <c r="AB61" s="3"/>
      <c r="AC61" s="3">
        <v>614965</v>
      </c>
      <c r="AD61" s="3"/>
      <c r="AE61" s="3" t="s">
        <v>262</v>
      </c>
      <c r="AG61" s="16" t="s">
        <v>204</v>
      </c>
      <c r="AI61" s="3">
        <v>1981</v>
      </c>
      <c r="AJ61" s="3"/>
      <c r="AK61" s="3">
        <v>736789</v>
      </c>
      <c r="AL61" s="3"/>
      <c r="AM61" s="3">
        <v>0</v>
      </c>
      <c r="AN61" s="3"/>
      <c r="AO61" s="3">
        <v>248749</v>
      </c>
      <c r="AP61" s="3"/>
      <c r="AQ61" s="3">
        <v>5647</v>
      </c>
      <c r="AR61" s="3"/>
      <c r="AS61" s="3">
        <v>44879</v>
      </c>
      <c r="AT61" s="3"/>
      <c r="AU61" s="3">
        <v>4013069</v>
      </c>
      <c r="AV61" s="3"/>
      <c r="AW61" s="3">
        <v>0</v>
      </c>
      <c r="AX61" s="3"/>
      <c r="AY61" s="3">
        <v>12960181</v>
      </c>
      <c r="AZ61" s="3"/>
      <c r="BA61" s="3">
        <f>794680+283045</f>
        <v>1077725</v>
      </c>
      <c r="BB61" s="3"/>
      <c r="BC61" s="3">
        <v>0</v>
      </c>
      <c r="BD61" s="3"/>
      <c r="BE61" s="17">
        <f t="shared" si="8"/>
        <v>27398369</v>
      </c>
      <c r="BF61" s="3" t="s">
        <v>262</v>
      </c>
      <c r="BH61" s="16" t="s">
        <v>204</v>
      </c>
      <c r="BI61" s="3"/>
      <c r="BJ61" s="3">
        <v>340040</v>
      </c>
      <c r="BK61" s="3"/>
      <c r="BL61" s="3">
        <v>0</v>
      </c>
      <c r="BM61" s="3"/>
      <c r="BN61" s="3">
        <v>0</v>
      </c>
      <c r="BO61" s="3"/>
      <c r="BP61" s="3">
        <v>0</v>
      </c>
      <c r="BQ61" s="3"/>
      <c r="BR61" s="17">
        <f t="shared" si="10"/>
        <v>27738409</v>
      </c>
      <c r="BS61" s="3"/>
      <c r="BT61" s="17">
        <f>GovRev!AV61-BR61</f>
        <v>8505390</v>
      </c>
      <c r="BU61" s="3"/>
      <c r="BV61" s="3">
        <v>20320705</v>
      </c>
      <c r="BW61" s="3"/>
      <c r="BX61" s="3">
        <v>0</v>
      </c>
      <c r="BY61" s="3"/>
      <c r="BZ61" s="17">
        <f t="shared" si="9"/>
        <v>28826095</v>
      </c>
      <c r="CA61" s="17"/>
      <c r="CB61" s="17">
        <f>-BZ61+GovBS!AE61</f>
        <v>0</v>
      </c>
      <c r="CE61" s="3"/>
      <c r="CF61" s="3" t="str">
        <f t="shared" si="2"/>
        <v>Vantage Career Center</v>
      </c>
      <c r="CG61" s="3" t="b">
        <f t="shared" si="3"/>
        <v>1</v>
      </c>
      <c r="CH61" s="3" t="b">
        <f t="shared" si="4"/>
        <v>1</v>
      </c>
      <c r="CI61" s="20" t="str">
        <f>GovRev!A61</f>
        <v>Vantage Career Center</v>
      </c>
      <c r="CJ61" s="20" t="b">
        <f t="shared" si="11"/>
        <v>1</v>
      </c>
      <c r="CL61" s="20" t="str">
        <f t="shared" si="5"/>
        <v>Van Wert</v>
      </c>
      <c r="CM61" s="20" t="b">
        <f t="shared" si="6"/>
        <v>1</v>
      </c>
      <c r="CN61" s="20" t="b">
        <f t="shared" si="7"/>
        <v>1</v>
      </c>
      <c r="CP61" s="16" t="b">
        <f>C61=GovRev!C61</f>
        <v>1</v>
      </c>
    </row>
    <row r="62" spans="1:94" s="16" customFormat="1">
      <c r="A62" s="3" t="s">
        <v>228</v>
      </c>
      <c r="C62" s="16" t="s">
        <v>205</v>
      </c>
      <c r="E62" s="16">
        <v>51474</v>
      </c>
      <c r="G62" s="3">
        <v>2164</v>
      </c>
      <c r="H62" s="3"/>
      <c r="I62" s="3">
        <v>158692</v>
      </c>
      <c r="J62" s="3"/>
      <c r="K62" s="3">
        <v>8391347</v>
      </c>
      <c r="L62" s="3"/>
      <c r="M62" s="32">
        <v>328931</v>
      </c>
      <c r="N62" s="3"/>
      <c r="O62" s="3">
        <v>0</v>
      </c>
      <c r="P62" s="3"/>
      <c r="Q62" s="3">
        <v>1111068</v>
      </c>
      <c r="R62" s="3"/>
      <c r="S62" s="3">
        <v>570274</v>
      </c>
      <c r="T62" s="3"/>
      <c r="U62" s="3">
        <v>17732</v>
      </c>
      <c r="V62" s="3"/>
      <c r="W62" s="3">
        <v>1417317</v>
      </c>
      <c r="X62" s="3"/>
      <c r="Y62" s="3">
        <v>500898</v>
      </c>
      <c r="Z62" s="3"/>
      <c r="AA62" s="3">
        <v>85404</v>
      </c>
      <c r="AB62" s="3"/>
      <c r="AC62" s="3">
        <v>1013367</v>
      </c>
      <c r="AD62" s="3"/>
      <c r="AE62" s="3" t="s">
        <v>228</v>
      </c>
      <c r="AG62" s="16" t="s">
        <v>205</v>
      </c>
      <c r="AI62" s="3">
        <v>132608</v>
      </c>
      <c r="AJ62" s="3"/>
      <c r="AK62" s="3">
        <v>2000997</v>
      </c>
      <c r="AL62" s="3"/>
      <c r="AM62" s="3">
        <v>0</v>
      </c>
      <c r="AN62" s="3"/>
      <c r="AO62" s="3">
        <v>0</v>
      </c>
      <c r="AP62" s="3"/>
      <c r="AQ62" s="3">
        <v>362831</v>
      </c>
      <c r="AR62" s="3"/>
      <c r="AS62" s="3">
        <v>88482</v>
      </c>
      <c r="AT62" s="3"/>
      <c r="AU62" s="3">
        <v>963738</v>
      </c>
      <c r="AV62" s="3"/>
      <c r="AW62" s="3">
        <v>0</v>
      </c>
      <c r="AX62" s="3"/>
      <c r="AY62" s="3">
        <v>472298</v>
      </c>
      <c r="AZ62" s="3"/>
      <c r="BA62" s="3">
        <v>265448</v>
      </c>
      <c r="BB62" s="3"/>
      <c r="BC62" s="3">
        <v>0</v>
      </c>
      <c r="BD62" s="3"/>
      <c r="BE62" s="17">
        <f t="shared" si="8"/>
        <v>17883596</v>
      </c>
      <c r="BF62" s="3" t="s">
        <v>228</v>
      </c>
      <c r="BH62" s="16" t="s">
        <v>205</v>
      </c>
      <c r="BI62" s="3"/>
      <c r="BJ62" s="3">
        <v>1061033</v>
      </c>
      <c r="BK62" s="3"/>
      <c r="BL62" s="3">
        <v>0</v>
      </c>
      <c r="BM62" s="3"/>
      <c r="BN62" s="3">
        <v>0</v>
      </c>
      <c r="BO62" s="3"/>
      <c r="BP62" s="3">
        <v>0</v>
      </c>
      <c r="BQ62" s="3"/>
      <c r="BR62" s="17">
        <f t="shared" si="10"/>
        <v>18944629</v>
      </c>
      <c r="BS62" s="3"/>
      <c r="BT62" s="17">
        <f>GovRev!AV62-BR62</f>
        <v>2085217</v>
      </c>
      <c r="BU62" s="3"/>
      <c r="BV62" s="3">
        <f>9667756+857327+1065215+270651</f>
        <v>11860949</v>
      </c>
      <c r="BW62" s="3"/>
      <c r="BX62" s="3">
        <v>0</v>
      </c>
      <c r="BY62" s="3"/>
      <c r="BZ62" s="17">
        <f t="shared" si="9"/>
        <v>13946166</v>
      </c>
      <c r="CA62" s="17"/>
      <c r="CB62" s="17">
        <f>-BZ62+GovBS!AE62</f>
        <v>0</v>
      </c>
      <c r="CE62" s="3"/>
      <c r="CF62" s="3" t="str">
        <f t="shared" si="2"/>
        <v>Warren County JVSD</v>
      </c>
      <c r="CG62" s="3" t="b">
        <f t="shared" si="3"/>
        <v>1</v>
      </c>
      <c r="CH62" s="3" t="b">
        <f t="shared" si="4"/>
        <v>1</v>
      </c>
      <c r="CI62" s="20" t="str">
        <f>GovRev!A62</f>
        <v>Warren County JVSD</v>
      </c>
      <c r="CJ62" s="20" t="b">
        <f t="shared" si="11"/>
        <v>1</v>
      </c>
      <c r="CL62" s="20" t="str">
        <f t="shared" si="5"/>
        <v>Warren</v>
      </c>
      <c r="CM62" s="20" t="b">
        <f t="shared" si="6"/>
        <v>1</v>
      </c>
      <c r="CN62" s="20" t="b">
        <f t="shared" si="7"/>
        <v>1</v>
      </c>
      <c r="CP62" s="16" t="b">
        <f>C62=GovRev!C62</f>
        <v>1</v>
      </c>
    </row>
    <row r="63" spans="1:94" s="16" customFormat="1">
      <c r="A63" s="3" t="s">
        <v>276</v>
      </c>
      <c r="C63" s="16" t="s">
        <v>206</v>
      </c>
      <c r="E63" s="16">
        <v>51698</v>
      </c>
      <c r="G63" s="3">
        <v>810487</v>
      </c>
      <c r="H63" s="3"/>
      <c r="I63" s="3">
        <v>0</v>
      </c>
      <c r="J63" s="3"/>
      <c r="K63" s="3">
        <v>2067125</v>
      </c>
      <c r="L63" s="3"/>
      <c r="M63" s="32">
        <v>60350</v>
      </c>
      <c r="N63" s="3"/>
      <c r="O63" s="3">
        <v>0</v>
      </c>
      <c r="P63" s="3"/>
      <c r="Q63" s="3">
        <v>320197</v>
      </c>
      <c r="R63" s="3"/>
      <c r="S63" s="3">
        <v>338339</v>
      </c>
      <c r="T63" s="3"/>
      <c r="U63" s="3">
        <v>34594</v>
      </c>
      <c r="V63" s="3"/>
      <c r="W63" s="3">
        <v>478145</v>
      </c>
      <c r="X63" s="3"/>
      <c r="Y63" s="3">
        <v>331694</v>
      </c>
      <c r="Z63" s="3"/>
      <c r="AA63" s="3">
        <v>50512</v>
      </c>
      <c r="AB63" s="3"/>
      <c r="AC63" s="3">
        <v>681287</v>
      </c>
      <c r="AD63" s="3"/>
      <c r="AE63" s="3" t="s">
        <v>276</v>
      </c>
      <c r="AG63" s="16" t="s">
        <v>206</v>
      </c>
      <c r="AI63" s="3">
        <v>11715</v>
      </c>
      <c r="AJ63" s="3"/>
      <c r="AK63" s="3">
        <v>377362</v>
      </c>
      <c r="AL63" s="3"/>
      <c r="AM63" s="3">
        <v>0</v>
      </c>
      <c r="AN63" s="3"/>
      <c r="AO63" s="3">
        <v>0</v>
      </c>
      <c r="AP63" s="3"/>
      <c r="AQ63" s="3">
        <v>958802</v>
      </c>
      <c r="AR63" s="3"/>
      <c r="AS63" s="3">
        <v>4488</v>
      </c>
      <c r="AT63" s="3"/>
      <c r="AU63" s="3">
        <v>41510</v>
      </c>
      <c r="AV63" s="3"/>
      <c r="AW63" s="3">
        <v>0</v>
      </c>
      <c r="AX63" s="3"/>
      <c r="AY63" s="3">
        <v>108464</v>
      </c>
      <c r="AZ63" s="3"/>
      <c r="BA63" s="3">
        <v>60756</v>
      </c>
      <c r="BB63" s="3"/>
      <c r="BC63" s="3">
        <v>0</v>
      </c>
      <c r="BD63" s="3"/>
      <c r="BE63" s="17">
        <f t="shared" si="8"/>
        <v>6735827</v>
      </c>
      <c r="BF63" s="3" t="s">
        <v>276</v>
      </c>
      <c r="BH63" s="16" t="s">
        <v>206</v>
      </c>
      <c r="BI63" s="3"/>
      <c r="BJ63" s="3">
        <v>9362</v>
      </c>
      <c r="BK63" s="3"/>
      <c r="BL63" s="3">
        <v>0</v>
      </c>
      <c r="BM63" s="3"/>
      <c r="BN63" s="3">
        <v>0</v>
      </c>
      <c r="BO63" s="3"/>
      <c r="BP63" s="3">
        <v>0</v>
      </c>
      <c r="BQ63" s="3"/>
      <c r="BR63" s="17">
        <f t="shared" si="10"/>
        <v>6745189</v>
      </c>
      <c r="BS63" s="3"/>
      <c r="BT63" s="17">
        <f>GovRev!AV63-BR63</f>
        <v>357191</v>
      </c>
      <c r="BU63" s="3"/>
      <c r="BV63" s="3">
        <v>2935062</v>
      </c>
      <c r="BW63" s="3"/>
      <c r="BX63" s="3">
        <v>0</v>
      </c>
      <c r="BY63" s="3"/>
      <c r="BZ63" s="17">
        <f t="shared" si="9"/>
        <v>3292253</v>
      </c>
      <c r="CA63" s="17"/>
      <c r="CB63" s="17">
        <f>-BZ63+GovBS!AE63</f>
        <v>0</v>
      </c>
      <c r="CE63" s="3"/>
      <c r="CF63" s="3" t="str">
        <f t="shared" si="2"/>
        <v>Washington County Career Center</v>
      </c>
      <c r="CG63" s="3" t="b">
        <f t="shared" si="3"/>
        <v>1</v>
      </c>
      <c r="CH63" s="3" t="b">
        <f t="shared" si="4"/>
        <v>1</v>
      </c>
      <c r="CI63" s="20" t="str">
        <f>GovRev!A63</f>
        <v>Washington County Career Center</v>
      </c>
      <c r="CJ63" s="20" t="b">
        <f t="shared" si="11"/>
        <v>1</v>
      </c>
      <c r="CL63" s="20" t="str">
        <f t="shared" si="5"/>
        <v>Washington</v>
      </c>
      <c r="CM63" s="20" t="b">
        <f t="shared" si="6"/>
        <v>1</v>
      </c>
      <c r="CN63" s="20" t="b">
        <f t="shared" si="7"/>
        <v>1</v>
      </c>
      <c r="CP63" s="16" t="b">
        <f>C63=GovRev!C63</f>
        <v>1</v>
      </c>
    </row>
    <row r="64" spans="1:94" s="16" customFormat="1">
      <c r="A64" s="3" t="s">
        <v>263</v>
      </c>
      <c r="C64" s="16" t="s">
        <v>208</v>
      </c>
      <c r="E64" s="16">
        <v>51714</v>
      </c>
      <c r="G64" s="3">
        <v>1817986</v>
      </c>
      <c r="H64" s="3"/>
      <c r="I64" s="3">
        <v>1376</v>
      </c>
      <c r="J64" s="3"/>
      <c r="K64" s="3">
        <v>6739213</v>
      </c>
      <c r="L64" s="3"/>
      <c r="M64" s="32">
        <v>147006</v>
      </c>
      <c r="N64" s="3"/>
      <c r="O64" s="3">
        <v>0</v>
      </c>
      <c r="P64" s="3"/>
      <c r="Q64" s="3">
        <v>612909</v>
      </c>
      <c r="R64" s="3"/>
      <c r="S64" s="3">
        <v>1915851</v>
      </c>
      <c r="T64" s="3"/>
      <c r="U64" s="3">
        <v>55289</v>
      </c>
      <c r="V64" s="3"/>
      <c r="W64" s="3">
        <v>765511</v>
      </c>
      <c r="X64" s="3"/>
      <c r="Y64" s="3">
        <v>449392</v>
      </c>
      <c r="Z64" s="3"/>
      <c r="AA64" s="3">
        <v>0</v>
      </c>
      <c r="AB64" s="3"/>
      <c r="AC64" s="3">
        <v>958013</v>
      </c>
      <c r="AD64" s="3"/>
      <c r="AE64" s="3" t="s">
        <v>263</v>
      </c>
      <c r="AG64" s="16" t="s">
        <v>208</v>
      </c>
      <c r="AI64" s="3">
        <v>44089</v>
      </c>
      <c r="AJ64" s="3"/>
      <c r="AK64" s="3">
        <v>93404</v>
      </c>
      <c r="AL64" s="3"/>
      <c r="AM64" s="3">
        <v>0</v>
      </c>
      <c r="AN64" s="3"/>
      <c r="AO64" s="3">
        <v>219105</v>
      </c>
      <c r="AP64" s="3"/>
      <c r="AQ64" s="3">
        <v>604635</v>
      </c>
      <c r="AR64" s="3"/>
      <c r="AS64" s="3">
        <v>0</v>
      </c>
      <c r="AT64" s="3"/>
      <c r="AU64" s="3">
        <v>10299790</v>
      </c>
      <c r="AV64" s="3"/>
      <c r="AW64" s="3">
        <v>0</v>
      </c>
      <c r="AX64" s="3"/>
      <c r="AY64" s="3">
        <v>895000</v>
      </c>
      <c r="AZ64" s="3"/>
      <c r="BA64" s="3">
        <v>330694</v>
      </c>
      <c r="BB64" s="3"/>
      <c r="BC64" s="3">
        <v>0</v>
      </c>
      <c r="BD64" s="3"/>
      <c r="BE64" s="17">
        <f t="shared" si="8"/>
        <v>25949263</v>
      </c>
      <c r="BF64" s="3" t="s">
        <v>263</v>
      </c>
      <c r="BH64" s="16" t="s">
        <v>208</v>
      </c>
      <c r="BI64" s="3"/>
      <c r="BJ64" s="3">
        <v>601088</v>
      </c>
      <c r="BK64" s="3"/>
      <c r="BL64" s="3">
        <v>0</v>
      </c>
      <c r="BM64" s="3"/>
      <c r="BN64" s="3">
        <v>0</v>
      </c>
      <c r="BO64" s="3"/>
      <c r="BP64" s="3">
        <v>0</v>
      </c>
      <c r="BQ64" s="3"/>
      <c r="BR64" s="17">
        <f t="shared" si="10"/>
        <v>26550351</v>
      </c>
      <c r="BS64" s="3"/>
      <c r="BT64" s="17">
        <f>GovRev!AV64-BR64</f>
        <v>-4429844</v>
      </c>
      <c r="BU64" s="3"/>
      <c r="BV64" s="3">
        <v>17485575</v>
      </c>
      <c r="BW64" s="3"/>
      <c r="BX64" s="3">
        <v>0</v>
      </c>
      <c r="BY64" s="3"/>
      <c r="BZ64" s="17">
        <f t="shared" si="9"/>
        <v>13055731</v>
      </c>
      <c r="CA64" s="17"/>
      <c r="CB64" s="17">
        <f>-BZ64+GovBS!AE64</f>
        <v>0</v>
      </c>
      <c r="CE64" s="32"/>
      <c r="CF64" s="3" t="str">
        <f t="shared" si="2"/>
        <v>Wayne County JVSD</v>
      </c>
      <c r="CG64" s="3" t="b">
        <f t="shared" si="3"/>
        <v>1</v>
      </c>
      <c r="CH64" s="3" t="b">
        <f t="shared" si="4"/>
        <v>1</v>
      </c>
      <c r="CI64" s="20" t="str">
        <f>GovRev!A64</f>
        <v>Wayne County JVSD</v>
      </c>
      <c r="CJ64" s="20" t="b">
        <f t="shared" si="11"/>
        <v>1</v>
      </c>
      <c r="CL64" s="20" t="str">
        <f t="shared" si="5"/>
        <v>Wayne</v>
      </c>
      <c r="CM64" s="20" t="b">
        <f t="shared" si="6"/>
        <v>1</v>
      </c>
      <c r="CN64" s="20" t="b">
        <f t="shared" si="7"/>
        <v>1</v>
      </c>
      <c r="CP64" s="16" t="b">
        <f>C64=GovRev!C64</f>
        <v>1</v>
      </c>
    </row>
    <row r="65" spans="1:94" s="16" customFormat="1">
      <c r="A65" s="3"/>
      <c r="C65" s="3"/>
      <c r="M65" s="32"/>
      <c r="BJ65" s="3"/>
      <c r="BK65" s="3"/>
      <c r="BL65" s="3"/>
      <c r="BM65" s="3"/>
      <c r="BN65" s="3"/>
      <c r="BO65" s="3"/>
      <c r="BP65" s="3"/>
      <c r="BQ65" s="3"/>
      <c r="BR65" s="17"/>
      <c r="BS65" s="3"/>
      <c r="BT65" s="17"/>
      <c r="BU65" s="3"/>
      <c r="BV65" s="3"/>
      <c r="BW65" s="3"/>
      <c r="BX65" s="3"/>
      <c r="BY65" s="3"/>
      <c r="BZ65" s="17"/>
      <c r="CA65" s="3"/>
      <c r="CB65" s="17"/>
      <c r="CF65" s="3"/>
      <c r="CG65" s="3"/>
      <c r="CH65" s="3"/>
      <c r="CI65" s="20"/>
      <c r="CJ65" s="20"/>
      <c r="CL65" s="20"/>
      <c r="CM65" s="20"/>
      <c r="CN65" s="20"/>
    </row>
    <row r="66" spans="1:94" s="16" customForma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64"/>
      <c r="M66" s="32"/>
      <c r="AC66" s="39" t="s">
        <v>266</v>
      </c>
      <c r="BE66" s="39" t="s">
        <v>266</v>
      </c>
      <c r="BJ66" s="3"/>
      <c r="BK66" s="3"/>
      <c r="BL66" s="3"/>
      <c r="BM66" s="3"/>
      <c r="BN66" s="3"/>
      <c r="BO66" s="3"/>
      <c r="BP66" s="3"/>
      <c r="BQ66" s="3"/>
      <c r="BR66" s="17"/>
      <c r="BS66" s="3"/>
      <c r="BT66" s="17"/>
      <c r="BU66" s="3"/>
      <c r="BV66" s="3"/>
      <c r="BW66" s="3"/>
      <c r="BX66" s="3"/>
      <c r="BY66" s="3"/>
      <c r="BZ66" s="17" t="s">
        <v>266</v>
      </c>
      <c r="CA66" s="3"/>
      <c r="CB66" s="17"/>
      <c r="CF66" s="3"/>
      <c r="CG66" s="3"/>
      <c r="CH66" s="3"/>
      <c r="CI66" s="20"/>
      <c r="CJ66" s="20"/>
      <c r="CL66" s="20"/>
      <c r="CM66" s="20"/>
      <c r="CN66" s="20"/>
    </row>
    <row r="67" spans="1:94" s="16" customFormat="1">
      <c r="A67" s="40" t="s">
        <v>265</v>
      </c>
      <c r="M67" s="32"/>
      <c r="AE67" s="40" t="s">
        <v>265</v>
      </c>
      <c r="BF67" s="40" t="s">
        <v>265</v>
      </c>
      <c r="BJ67" s="3"/>
      <c r="BK67" s="3"/>
      <c r="BL67" s="3"/>
      <c r="BM67" s="3"/>
      <c r="BN67" s="3"/>
      <c r="BO67" s="3"/>
      <c r="BP67" s="3"/>
      <c r="BQ67" s="3"/>
      <c r="BR67" s="17"/>
      <c r="BS67" s="3"/>
      <c r="BT67" s="17"/>
      <c r="BU67" s="3"/>
      <c r="BV67" s="3"/>
      <c r="BW67" s="3"/>
      <c r="BX67" s="3"/>
      <c r="BY67" s="3"/>
      <c r="BZ67" s="17"/>
      <c r="CA67" s="3"/>
      <c r="CB67" s="17"/>
      <c r="CF67" s="3"/>
      <c r="CG67" s="3"/>
      <c r="CH67" s="3"/>
      <c r="CI67" s="20"/>
      <c r="CJ67" s="20"/>
      <c r="CL67" s="20"/>
      <c r="CM67" s="20"/>
      <c r="CN67" s="20"/>
    </row>
    <row r="68" spans="1:94" s="16" customFormat="1">
      <c r="A68" s="40"/>
      <c r="M68" s="32"/>
      <c r="AE68" s="40"/>
      <c r="BF68" s="40"/>
      <c r="BJ68" s="3"/>
      <c r="BK68" s="3"/>
      <c r="BL68" s="3"/>
      <c r="BM68" s="3"/>
      <c r="BN68" s="3"/>
      <c r="BO68" s="3"/>
      <c r="BP68" s="3"/>
      <c r="BQ68" s="3"/>
      <c r="BR68" s="17"/>
      <c r="BS68" s="3"/>
      <c r="BT68" s="17"/>
      <c r="BU68" s="3"/>
      <c r="BV68" s="3"/>
      <c r="BW68" s="3"/>
      <c r="BX68" s="3"/>
      <c r="BY68" s="3"/>
      <c r="BZ68" s="17"/>
      <c r="CA68" s="3"/>
      <c r="CB68" s="17"/>
      <c r="CF68" s="3"/>
      <c r="CG68" s="3"/>
      <c r="CH68" s="3"/>
      <c r="CI68" s="20"/>
      <c r="CJ68" s="20"/>
      <c r="CL68" s="20"/>
      <c r="CM68" s="20"/>
      <c r="CN68" s="20"/>
    </row>
    <row r="69" spans="1:94" s="68" customFormat="1" hidden="1">
      <c r="A69" s="65" t="s">
        <v>414</v>
      </c>
      <c r="B69" s="65"/>
      <c r="C69" s="65" t="s">
        <v>272</v>
      </c>
      <c r="E69" s="82">
        <v>45849</v>
      </c>
      <c r="G69" s="65"/>
      <c r="H69" s="65"/>
      <c r="I69" s="65"/>
      <c r="J69" s="65"/>
      <c r="K69" s="65"/>
      <c r="L69" s="65"/>
      <c r="M69" s="80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E69" s="65" t="s">
        <v>414</v>
      </c>
      <c r="AG69" s="65" t="s">
        <v>272</v>
      </c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7">
        <f>SUM(G69:BC69)</f>
        <v>0</v>
      </c>
      <c r="BF69" s="65" t="s">
        <v>414</v>
      </c>
      <c r="BH69" s="65" t="s">
        <v>272</v>
      </c>
      <c r="BJ69" s="65"/>
      <c r="BK69" s="65"/>
      <c r="BL69" s="65"/>
      <c r="BM69" s="65"/>
      <c r="BN69" s="65"/>
      <c r="BO69" s="65"/>
      <c r="BP69" s="65"/>
      <c r="BQ69" s="65"/>
      <c r="BR69" s="67">
        <f t="shared" si="10"/>
        <v>0</v>
      </c>
      <c r="BS69" s="65"/>
      <c r="BT69" s="67">
        <f>GovRev!AV69-BR69</f>
        <v>0</v>
      </c>
      <c r="BU69" s="65"/>
      <c r="BV69" s="65"/>
      <c r="BW69" s="65"/>
      <c r="BX69" s="65"/>
      <c r="BY69" s="65"/>
      <c r="BZ69" s="67">
        <f t="shared" si="9"/>
        <v>0</v>
      </c>
      <c r="CA69" s="67"/>
      <c r="CB69" s="67">
        <f>-BZ69+GovBS!AE69</f>
        <v>0</v>
      </c>
      <c r="CE69" s="66" t="s">
        <v>413</v>
      </c>
      <c r="CF69" s="65" t="str">
        <f t="shared" si="2"/>
        <v>Allen County Educ Srv Ctr (CASH)</v>
      </c>
      <c r="CG69" s="65" t="b">
        <f t="shared" si="3"/>
        <v>1</v>
      </c>
      <c r="CH69" s="65" t="b">
        <f t="shared" si="4"/>
        <v>1</v>
      </c>
      <c r="CI69" s="68" t="str">
        <f>GovRev!A69</f>
        <v>Allen County Educ Srv Ctr (CASH)</v>
      </c>
      <c r="CJ69" s="68" t="b">
        <f t="shared" ref="CJ69:CJ100" si="12">CF69=CI69</f>
        <v>1</v>
      </c>
      <c r="CL69" s="68" t="str">
        <f t="shared" si="5"/>
        <v>Allen</v>
      </c>
      <c r="CM69" s="68" t="b">
        <f t="shared" si="6"/>
        <v>1</v>
      </c>
      <c r="CN69" s="68" t="b">
        <f t="shared" si="7"/>
        <v>1</v>
      </c>
      <c r="CP69" s="66" t="b">
        <f>C69=GovRev!C69</f>
        <v>1</v>
      </c>
    </row>
    <row r="70" spans="1:94" s="68" customFormat="1" hidden="1">
      <c r="A70" s="65" t="s">
        <v>415</v>
      </c>
      <c r="B70" s="65"/>
      <c r="C70" s="65" t="s">
        <v>147</v>
      </c>
      <c r="E70" s="82"/>
      <c r="G70" s="65"/>
      <c r="H70" s="65"/>
      <c r="I70" s="65"/>
      <c r="J70" s="65"/>
      <c r="K70" s="65"/>
      <c r="L70" s="65"/>
      <c r="M70" s="80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 t="s">
        <v>415</v>
      </c>
      <c r="AF70" s="65"/>
      <c r="AG70" s="65" t="s">
        <v>147</v>
      </c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7">
        <f>SUM(G70:BC70)</f>
        <v>0</v>
      </c>
      <c r="BF70" s="65" t="s">
        <v>415</v>
      </c>
      <c r="BG70" s="65"/>
      <c r="BH70" s="65" t="s">
        <v>147</v>
      </c>
      <c r="BI70" s="65"/>
      <c r="BJ70" s="65"/>
      <c r="BK70" s="65"/>
      <c r="BL70" s="65"/>
      <c r="BM70" s="65"/>
      <c r="BN70" s="65"/>
      <c r="BO70" s="65"/>
      <c r="BP70" s="65"/>
      <c r="BQ70" s="65"/>
      <c r="BR70" s="67">
        <f t="shared" si="10"/>
        <v>0</v>
      </c>
      <c r="BS70" s="65"/>
      <c r="BT70" s="67">
        <f>GovRev!AV70-BR70</f>
        <v>0</v>
      </c>
      <c r="BU70" s="65"/>
      <c r="BV70" s="65"/>
      <c r="BW70" s="65"/>
      <c r="BX70" s="65"/>
      <c r="BY70" s="65"/>
      <c r="BZ70" s="67">
        <f>+BV70+BT70+BX70</f>
        <v>0</v>
      </c>
      <c r="CA70" s="67"/>
      <c r="CB70" s="67">
        <f>-BZ70+GovBS!AE70</f>
        <v>0</v>
      </c>
      <c r="CC70" s="66"/>
      <c r="CD70" s="66"/>
      <c r="CE70" s="66" t="s">
        <v>377</v>
      </c>
      <c r="CF70" s="65" t="str">
        <f t="shared" si="2"/>
        <v>Ashtabula County Educ Srv Ctr (CASH)</v>
      </c>
      <c r="CG70" s="65" t="b">
        <f t="shared" si="3"/>
        <v>1</v>
      </c>
      <c r="CH70" s="65" t="b">
        <f t="shared" si="4"/>
        <v>1</v>
      </c>
      <c r="CI70" s="68" t="str">
        <f>GovRev!A70</f>
        <v>Ashtabula County Educ Srv Ctr (CASH)</v>
      </c>
      <c r="CJ70" s="68" t="b">
        <f t="shared" si="12"/>
        <v>1</v>
      </c>
      <c r="CK70" s="66"/>
      <c r="CL70" s="68" t="str">
        <f t="shared" si="5"/>
        <v>Ashtabula</v>
      </c>
      <c r="CM70" s="68" t="b">
        <f t="shared" si="6"/>
        <v>1</v>
      </c>
      <c r="CN70" s="68" t="b">
        <f t="shared" si="7"/>
        <v>1</v>
      </c>
      <c r="CO70" s="66"/>
      <c r="CP70" s="66" t="b">
        <f>C70=GovRev!C70</f>
        <v>1</v>
      </c>
    </row>
    <row r="71" spans="1:94" s="16" customFormat="1">
      <c r="A71" s="3" t="s">
        <v>151</v>
      </c>
      <c r="C71" s="16" t="s">
        <v>148</v>
      </c>
      <c r="E71" s="16">
        <v>135145</v>
      </c>
      <c r="G71" s="20">
        <v>1266987</v>
      </c>
      <c r="H71" s="20"/>
      <c r="I71" s="20">
        <v>2301492</v>
      </c>
      <c r="J71" s="20"/>
      <c r="K71" s="20">
        <v>28832</v>
      </c>
      <c r="L71" s="20"/>
      <c r="M71" s="78">
        <v>58286</v>
      </c>
      <c r="N71" s="20"/>
      <c r="O71" s="20">
        <v>30339</v>
      </c>
      <c r="P71" s="20"/>
      <c r="Q71" s="20">
        <v>1079298</v>
      </c>
      <c r="R71" s="20"/>
      <c r="S71" s="20">
        <v>1427890</v>
      </c>
      <c r="T71" s="20"/>
      <c r="U71" s="20">
        <v>88220</v>
      </c>
      <c r="V71" s="20"/>
      <c r="W71" s="20">
        <v>615460</v>
      </c>
      <c r="X71" s="20"/>
      <c r="Y71" s="20">
        <v>554158</v>
      </c>
      <c r="Z71" s="20"/>
      <c r="AA71" s="20">
        <v>0</v>
      </c>
      <c r="AB71" s="20"/>
      <c r="AC71" s="20">
        <v>167463</v>
      </c>
      <c r="AD71" s="20"/>
      <c r="AE71" s="3" t="s">
        <v>151</v>
      </c>
      <c r="AF71" s="20"/>
      <c r="AG71" s="20" t="s">
        <v>148</v>
      </c>
      <c r="AH71" s="20"/>
      <c r="AI71" s="20">
        <v>623925</v>
      </c>
      <c r="AJ71" s="20"/>
      <c r="AK71" s="20">
        <v>45175</v>
      </c>
      <c r="AL71" s="20"/>
      <c r="AM71" s="20">
        <v>0</v>
      </c>
      <c r="AN71" s="20"/>
      <c r="AO71" s="20">
        <v>0</v>
      </c>
      <c r="AP71" s="20"/>
      <c r="AQ71" s="20">
        <v>200451</v>
      </c>
      <c r="AR71" s="20"/>
      <c r="AS71" s="20">
        <v>0</v>
      </c>
      <c r="AT71" s="20"/>
      <c r="AU71" s="20">
        <v>0</v>
      </c>
      <c r="AV71" s="20"/>
      <c r="AW71" s="20">
        <v>0</v>
      </c>
      <c r="AX71" s="20"/>
      <c r="AY71" s="20">
        <v>0</v>
      </c>
      <c r="AZ71" s="20"/>
      <c r="BA71" s="20">
        <v>0</v>
      </c>
      <c r="BB71" s="20"/>
      <c r="BC71" s="20">
        <v>0</v>
      </c>
      <c r="BD71" s="20"/>
      <c r="BE71" s="21">
        <f>SUM(G71:BC71)</f>
        <v>8487976</v>
      </c>
      <c r="BF71" s="3" t="s">
        <v>151</v>
      </c>
      <c r="BG71" s="20"/>
      <c r="BH71" s="20" t="s">
        <v>148</v>
      </c>
      <c r="BI71" s="20"/>
      <c r="BJ71" s="20">
        <v>0</v>
      </c>
      <c r="BK71" s="20"/>
      <c r="BL71" s="20">
        <v>0</v>
      </c>
      <c r="BM71" s="20"/>
      <c r="BN71" s="20">
        <v>0</v>
      </c>
      <c r="BO71" s="20"/>
      <c r="BP71" s="20">
        <v>0</v>
      </c>
      <c r="BQ71" s="20"/>
      <c r="BR71" s="21">
        <f t="shared" si="10"/>
        <v>8487976</v>
      </c>
      <c r="BS71" s="20"/>
      <c r="BT71" s="21">
        <f>GovRev!AV71-BR71</f>
        <v>241571</v>
      </c>
      <c r="BU71" s="20"/>
      <c r="BV71" s="20">
        <v>314636</v>
      </c>
      <c r="BW71" s="20"/>
      <c r="BX71" s="20">
        <v>0</v>
      </c>
      <c r="BY71" s="20"/>
      <c r="BZ71" s="21">
        <f t="shared" si="9"/>
        <v>556207</v>
      </c>
      <c r="CA71" s="17"/>
      <c r="CB71" s="17">
        <f>-BZ71+GovBS!AE71</f>
        <v>0</v>
      </c>
      <c r="CC71" s="20"/>
      <c r="CD71" s="20"/>
      <c r="CF71" s="3" t="str">
        <f t="shared" si="2"/>
        <v>Athens-Meigs Educ Srv Ctr</v>
      </c>
      <c r="CG71" s="3" t="b">
        <f t="shared" si="3"/>
        <v>1</v>
      </c>
      <c r="CH71" s="3" t="b">
        <f t="shared" si="4"/>
        <v>1</v>
      </c>
      <c r="CI71" s="20" t="str">
        <f>GovRev!A71</f>
        <v>Athens-Meigs Educ Srv Ctr</v>
      </c>
      <c r="CJ71" s="20" t="b">
        <f t="shared" si="12"/>
        <v>1</v>
      </c>
      <c r="CK71" s="20"/>
      <c r="CL71" s="20" t="str">
        <f t="shared" si="5"/>
        <v>Athens</v>
      </c>
      <c r="CM71" s="20" t="b">
        <f t="shared" si="6"/>
        <v>1</v>
      </c>
      <c r="CN71" s="20" t="b">
        <f t="shared" si="7"/>
        <v>1</v>
      </c>
      <c r="CP71" s="16" t="b">
        <f>C71=GovRev!C71</f>
        <v>1</v>
      </c>
    </row>
    <row r="72" spans="1:94" s="66" customFormat="1" hidden="1">
      <c r="A72" s="65" t="s">
        <v>416</v>
      </c>
      <c r="B72" s="65"/>
      <c r="C72" s="65" t="s">
        <v>273</v>
      </c>
      <c r="G72" s="65"/>
      <c r="H72" s="65"/>
      <c r="I72" s="65"/>
      <c r="J72" s="65"/>
      <c r="K72" s="65"/>
      <c r="L72" s="65"/>
      <c r="M72" s="80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 t="s">
        <v>416</v>
      </c>
      <c r="AF72" s="65"/>
      <c r="AG72" s="65" t="s">
        <v>273</v>
      </c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7">
        <f>SUM(G72:BC72)</f>
        <v>0</v>
      </c>
      <c r="BF72" s="65" t="s">
        <v>416</v>
      </c>
      <c r="BG72" s="65"/>
      <c r="BH72" s="65" t="s">
        <v>273</v>
      </c>
      <c r="BI72" s="65"/>
      <c r="BJ72" s="65"/>
      <c r="BK72" s="65"/>
      <c r="BL72" s="65"/>
      <c r="BM72" s="65"/>
      <c r="BN72" s="65"/>
      <c r="BO72" s="65"/>
      <c r="BP72" s="65"/>
      <c r="BQ72" s="65"/>
      <c r="BR72" s="67">
        <f t="shared" si="10"/>
        <v>0</v>
      </c>
      <c r="BS72" s="65"/>
      <c r="BT72" s="67">
        <f>GovRev!AV72-BR72</f>
        <v>0</v>
      </c>
      <c r="BU72" s="65"/>
      <c r="BV72" s="65"/>
      <c r="BW72" s="65"/>
      <c r="BX72" s="65"/>
      <c r="BY72" s="65"/>
      <c r="BZ72" s="67">
        <f t="shared" si="9"/>
        <v>0</v>
      </c>
      <c r="CA72" s="67"/>
      <c r="CB72" s="67">
        <f>-BZ72+GovBS!AE72</f>
        <v>0</v>
      </c>
      <c r="CE72" s="66" t="s">
        <v>404</v>
      </c>
      <c r="CF72" s="65" t="str">
        <f t="shared" si="2"/>
        <v>Auglaize County Educ Srv Ctr (CASH)</v>
      </c>
      <c r="CG72" s="65" t="b">
        <f t="shared" si="3"/>
        <v>1</v>
      </c>
      <c r="CH72" s="65" t="b">
        <f t="shared" si="4"/>
        <v>1</v>
      </c>
      <c r="CI72" s="68" t="str">
        <f>GovRev!A72</f>
        <v>Auglaize County Educ Srv Ctr (CASH)</v>
      </c>
      <c r="CJ72" s="68" t="b">
        <f t="shared" si="12"/>
        <v>1</v>
      </c>
      <c r="CL72" s="68" t="str">
        <f t="shared" si="5"/>
        <v>Auglaize</v>
      </c>
      <c r="CM72" s="68" t="b">
        <f t="shared" si="6"/>
        <v>1</v>
      </c>
      <c r="CN72" s="68" t="b">
        <f t="shared" si="7"/>
        <v>1</v>
      </c>
      <c r="CP72" s="66" t="b">
        <f>C72=GovRev!C72</f>
        <v>1</v>
      </c>
    </row>
    <row r="73" spans="1:94" s="16" customFormat="1">
      <c r="A73" s="16" t="s">
        <v>322</v>
      </c>
      <c r="C73" s="16" t="s">
        <v>153</v>
      </c>
      <c r="E73" s="16">
        <v>46029</v>
      </c>
      <c r="G73" s="3">
        <v>565469</v>
      </c>
      <c r="H73" s="3"/>
      <c r="I73" s="3">
        <v>1798350</v>
      </c>
      <c r="J73" s="3"/>
      <c r="K73" s="3">
        <v>0</v>
      </c>
      <c r="L73" s="3"/>
      <c r="M73" s="32">
        <v>10370</v>
      </c>
      <c r="N73" s="3"/>
      <c r="O73" s="3">
        <v>0</v>
      </c>
      <c r="P73" s="3"/>
      <c r="Q73" s="3">
        <v>1050567</v>
      </c>
      <c r="R73" s="3"/>
      <c r="S73" s="3">
        <v>596918</v>
      </c>
      <c r="T73" s="3"/>
      <c r="U73" s="3">
        <v>44369</v>
      </c>
      <c r="V73" s="3"/>
      <c r="W73" s="3">
        <v>237503</v>
      </c>
      <c r="X73" s="3"/>
      <c r="Y73" s="3">
        <v>204338</v>
      </c>
      <c r="Z73" s="3"/>
      <c r="AA73" s="3">
        <v>0</v>
      </c>
      <c r="AB73" s="3"/>
      <c r="AC73" s="3">
        <v>76944</v>
      </c>
      <c r="AD73" s="3"/>
      <c r="AE73" s="16" t="s">
        <v>322</v>
      </c>
      <c r="AG73" s="16" t="s">
        <v>153</v>
      </c>
      <c r="AH73" s="3"/>
      <c r="AI73" s="3">
        <v>9691</v>
      </c>
      <c r="AJ73" s="3"/>
      <c r="AK73" s="3">
        <v>175742</v>
      </c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v>0</v>
      </c>
      <c r="AT73" s="3"/>
      <c r="AU73" s="3">
        <v>0</v>
      </c>
      <c r="AV73" s="3"/>
      <c r="AW73" s="3">
        <v>46825</v>
      </c>
      <c r="AX73" s="3"/>
      <c r="AY73" s="3">
        <v>0</v>
      </c>
      <c r="AZ73" s="3"/>
      <c r="BA73" s="3">
        <v>0</v>
      </c>
      <c r="BB73" s="3"/>
      <c r="BC73" s="3">
        <v>0</v>
      </c>
      <c r="BD73" s="3"/>
      <c r="BE73" s="17">
        <f>SUM(G73:BC73)</f>
        <v>4817086</v>
      </c>
      <c r="BF73" s="16" t="s">
        <v>322</v>
      </c>
      <c r="BH73" s="16" t="s">
        <v>153</v>
      </c>
      <c r="BI73" s="3"/>
      <c r="BJ73" s="3">
        <v>0</v>
      </c>
      <c r="BK73" s="3"/>
      <c r="BL73" s="3">
        <v>0</v>
      </c>
      <c r="BM73" s="3"/>
      <c r="BN73" s="3">
        <v>0</v>
      </c>
      <c r="BO73" s="3"/>
      <c r="BP73" s="3">
        <v>0</v>
      </c>
      <c r="BQ73" s="3"/>
      <c r="BR73" s="17">
        <f t="shared" si="10"/>
        <v>4817086</v>
      </c>
      <c r="BS73" s="3"/>
      <c r="BT73" s="17">
        <f>GovRev!AV73-BR73</f>
        <v>-151280</v>
      </c>
      <c r="BU73" s="3"/>
      <c r="BV73" s="3">
        <v>1941362</v>
      </c>
      <c r="BW73" s="3"/>
      <c r="BX73" s="3">
        <v>0</v>
      </c>
      <c r="BY73" s="3"/>
      <c r="BZ73" s="17">
        <f t="shared" si="9"/>
        <v>1790082</v>
      </c>
      <c r="CA73" s="17"/>
      <c r="CB73" s="97">
        <f>-BZ73+GovBS!AE73</f>
        <v>-30</v>
      </c>
      <c r="CE73" s="3" t="s">
        <v>405</v>
      </c>
      <c r="CF73" s="3" t="str">
        <f t="shared" si="2"/>
        <v>Brown County Educ Srv Ctr</v>
      </c>
      <c r="CG73" s="3" t="b">
        <f t="shared" si="3"/>
        <v>1</v>
      </c>
      <c r="CH73" s="3" t="b">
        <f t="shared" si="4"/>
        <v>1</v>
      </c>
      <c r="CI73" s="20" t="str">
        <f>GovRev!A73</f>
        <v>Brown County Educ Srv Ctr</v>
      </c>
      <c r="CJ73" s="20" t="b">
        <f t="shared" si="12"/>
        <v>1</v>
      </c>
      <c r="CL73" s="20" t="str">
        <f t="shared" si="5"/>
        <v>Brown</v>
      </c>
      <c r="CM73" s="20" t="b">
        <f t="shared" si="6"/>
        <v>1</v>
      </c>
      <c r="CN73" s="20" t="b">
        <f t="shared" si="7"/>
        <v>1</v>
      </c>
      <c r="CP73" s="16" t="b">
        <f>C73=GovRev!C73</f>
        <v>1</v>
      </c>
    </row>
    <row r="74" spans="1:94" s="16" customFormat="1">
      <c r="A74" s="16" t="s">
        <v>323</v>
      </c>
      <c r="C74" s="16" t="s">
        <v>150</v>
      </c>
      <c r="E74" s="16">
        <v>46086</v>
      </c>
      <c r="G74" s="3">
        <v>465265</v>
      </c>
      <c r="H74" s="3"/>
      <c r="I74" s="3">
        <v>1965533</v>
      </c>
      <c r="J74" s="3"/>
      <c r="K74" s="3">
        <v>0</v>
      </c>
      <c r="L74" s="3"/>
      <c r="M74" s="32">
        <v>0</v>
      </c>
      <c r="N74" s="3"/>
      <c r="O74" s="3">
        <v>0</v>
      </c>
      <c r="P74" s="3"/>
      <c r="Q74" s="3">
        <v>4424806</v>
      </c>
      <c r="R74" s="3"/>
      <c r="S74" s="3">
        <v>1811172</v>
      </c>
      <c r="T74" s="3"/>
      <c r="U74" s="3">
        <v>12826</v>
      </c>
      <c r="V74" s="3"/>
      <c r="W74" s="3">
        <v>1951778</v>
      </c>
      <c r="X74" s="3"/>
      <c r="Y74" s="3">
        <v>373079</v>
      </c>
      <c r="Z74" s="3"/>
      <c r="AA74" s="3">
        <v>0</v>
      </c>
      <c r="AB74" s="3"/>
      <c r="AC74" s="3">
        <v>858244</v>
      </c>
      <c r="AD74" s="3"/>
      <c r="AE74" s="16" t="s">
        <v>323</v>
      </c>
      <c r="AG74" s="16" t="s">
        <v>150</v>
      </c>
      <c r="AH74" s="3"/>
      <c r="AI74" s="3">
        <v>156981</v>
      </c>
      <c r="AJ74" s="3"/>
      <c r="AK74" s="3">
        <v>1764503</v>
      </c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v>873631</v>
      </c>
      <c r="AV74" s="3"/>
      <c r="AW74" s="3">
        <v>0</v>
      </c>
      <c r="AX74" s="3"/>
      <c r="AY74" s="3">
        <v>70000</v>
      </c>
      <c r="AZ74" s="3"/>
      <c r="BA74" s="3">
        <v>160875</v>
      </c>
      <c r="BB74" s="3"/>
      <c r="BC74" s="3">
        <v>0</v>
      </c>
      <c r="BD74" s="3"/>
      <c r="BE74" s="17">
        <f t="shared" ref="BE74:BE130" si="13">SUM(G74:BC74)</f>
        <v>14888693</v>
      </c>
      <c r="BF74" s="16" t="s">
        <v>323</v>
      </c>
      <c r="BH74" s="16" t="s">
        <v>150</v>
      </c>
      <c r="BI74" s="3"/>
      <c r="BJ74" s="3">
        <v>0</v>
      </c>
      <c r="BK74" s="3"/>
      <c r="BL74" s="3">
        <v>0</v>
      </c>
      <c r="BM74" s="3"/>
      <c r="BN74" s="3">
        <v>0</v>
      </c>
      <c r="BO74" s="3"/>
      <c r="BP74" s="3">
        <v>0</v>
      </c>
      <c r="BQ74" s="3"/>
      <c r="BR74" s="17">
        <f t="shared" si="10"/>
        <v>14888693</v>
      </c>
      <c r="BS74" s="3"/>
      <c r="BT74" s="17">
        <f>GovRev!AV74-BR74</f>
        <v>-955492</v>
      </c>
      <c r="BU74" s="3"/>
      <c r="BV74" s="3">
        <v>1731881</v>
      </c>
      <c r="BW74" s="3"/>
      <c r="BX74" s="3">
        <v>0</v>
      </c>
      <c r="BY74" s="3"/>
      <c r="BZ74" s="17">
        <f t="shared" si="9"/>
        <v>776389</v>
      </c>
      <c r="CA74" s="17"/>
      <c r="CB74" s="17">
        <f>-BZ74+GovBS!AE74</f>
        <v>0</v>
      </c>
      <c r="CE74" s="3"/>
      <c r="CF74" s="3" t="str">
        <f t="shared" si="2"/>
        <v>Butler County Educ Srv Ctr</v>
      </c>
      <c r="CG74" s="3" t="b">
        <f t="shared" si="3"/>
        <v>1</v>
      </c>
      <c r="CH74" s="3" t="b">
        <f t="shared" si="4"/>
        <v>1</v>
      </c>
      <c r="CI74" s="20" t="str">
        <f>GovRev!A74</f>
        <v>Butler County Educ Srv Ctr</v>
      </c>
      <c r="CJ74" s="20" t="b">
        <f t="shared" si="12"/>
        <v>1</v>
      </c>
      <c r="CL74" s="20" t="str">
        <f t="shared" si="5"/>
        <v>Butler</v>
      </c>
      <c r="CM74" s="20" t="b">
        <f t="shared" si="6"/>
        <v>1</v>
      </c>
      <c r="CN74" s="20" t="b">
        <f t="shared" si="7"/>
        <v>1</v>
      </c>
      <c r="CP74" s="16" t="b">
        <f>C74=GovRev!C74</f>
        <v>1</v>
      </c>
    </row>
    <row r="75" spans="1:94" s="16" customFormat="1">
      <c r="A75" s="16" t="s">
        <v>324</v>
      </c>
      <c r="C75" s="16" t="s">
        <v>155</v>
      </c>
      <c r="E75" s="16">
        <v>46227</v>
      </c>
      <c r="G75" s="3">
        <v>126</v>
      </c>
      <c r="H75" s="3"/>
      <c r="I75" s="3">
        <v>1423434</v>
      </c>
      <c r="J75" s="3"/>
      <c r="K75" s="3">
        <v>55766</v>
      </c>
      <c r="L75" s="3"/>
      <c r="M75" s="32">
        <v>0</v>
      </c>
      <c r="N75" s="3"/>
      <c r="O75" s="3">
        <v>65151</v>
      </c>
      <c r="P75" s="3"/>
      <c r="Q75" s="3">
        <v>1761074</v>
      </c>
      <c r="R75" s="3"/>
      <c r="S75" s="3">
        <v>1918134</v>
      </c>
      <c r="T75" s="3"/>
      <c r="U75" s="3">
        <v>21206</v>
      </c>
      <c r="V75" s="3"/>
      <c r="W75" s="3">
        <v>586082</v>
      </c>
      <c r="X75" s="3"/>
      <c r="Y75" s="3">
        <v>210070</v>
      </c>
      <c r="Z75" s="3"/>
      <c r="AA75" s="3">
        <v>11832</v>
      </c>
      <c r="AB75" s="3"/>
      <c r="AC75" s="3">
        <v>53949</v>
      </c>
      <c r="AD75" s="3"/>
      <c r="AE75" s="16" t="s">
        <v>324</v>
      </c>
      <c r="AG75" s="16" t="s">
        <v>155</v>
      </c>
      <c r="AH75" s="3"/>
      <c r="AI75" s="3">
        <v>0</v>
      </c>
      <c r="AJ75" s="3"/>
      <c r="AK75" s="3">
        <v>55031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0</v>
      </c>
      <c r="AV75" s="3"/>
      <c r="AW75" s="3">
        <v>0</v>
      </c>
      <c r="AX75" s="3"/>
      <c r="AY75" s="3">
        <v>71377</v>
      </c>
      <c r="AZ75" s="3"/>
      <c r="BA75" s="3">
        <v>5</v>
      </c>
      <c r="BB75" s="3"/>
      <c r="BC75" s="3">
        <v>0</v>
      </c>
      <c r="BD75" s="3"/>
      <c r="BE75" s="17">
        <f t="shared" si="13"/>
        <v>6233237</v>
      </c>
      <c r="BF75" s="16" t="s">
        <v>324</v>
      </c>
      <c r="BH75" s="16" t="s">
        <v>155</v>
      </c>
      <c r="BI75" s="3"/>
      <c r="BJ75" s="3">
        <v>0</v>
      </c>
      <c r="BK75" s="3"/>
      <c r="BL75" s="3">
        <v>0</v>
      </c>
      <c r="BM75" s="3"/>
      <c r="BN75" s="3">
        <v>0</v>
      </c>
      <c r="BO75" s="3"/>
      <c r="BP75" s="3">
        <v>0</v>
      </c>
      <c r="BQ75" s="3"/>
      <c r="BR75" s="17">
        <f t="shared" si="10"/>
        <v>6233237</v>
      </c>
      <c r="BS75" s="3"/>
      <c r="BT75" s="17">
        <f>GovRev!AV75-BR75</f>
        <v>271981</v>
      </c>
      <c r="BU75" s="3"/>
      <c r="BV75" s="3">
        <v>1372206</v>
      </c>
      <c r="BW75" s="3"/>
      <c r="BX75" s="3">
        <v>0</v>
      </c>
      <c r="BY75" s="3"/>
      <c r="BZ75" s="17">
        <f t="shared" si="9"/>
        <v>1644187</v>
      </c>
      <c r="CA75" s="17"/>
      <c r="CB75" s="17">
        <f>-BZ75+GovBS!AE75</f>
        <v>0</v>
      </c>
      <c r="CE75" s="3"/>
      <c r="CF75" s="3" t="str">
        <f t="shared" si="2"/>
        <v>Clark County Educ Srv Ctr</v>
      </c>
      <c r="CG75" s="3" t="b">
        <f t="shared" si="3"/>
        <v>1</v>
      </c>
      <c r="CH75" s="3" t="b">
        <f t="shared" si="4"/>
        <v>1</v>
      </c>
      <c r="CI75" s="20" t="str">
        <f>GovRev!A75</f>
        <v>Clark County Educ Srv Ctr</v>
      </c>
      <c r="CJ75" s="20" t="b">
        <f t="shared" si="12"/>
        <v>1</v>
      </c>
      <c r="CL75" s="20" t="str">
        <f t="shared" si="5"/>
        <v>Clark</v>
      </c>
      <c r="CM75" s="20" t="b">
        <f t="shared" si="6"/>
        <v>1</v>
      </c>
      <c r="CN75" s="20" t="b">
        <f t="shared" si="7"/>
        <v>1</v>
      </c>
      <c r="CP75" s="16" t="b">
        <f>C75=GovRev!C75</f>
        <v>1</v>
      </c>
    </row>
    <row r="76" spans="1:94" s="16" customFormat="1">
      <c r="A76" s="3" t="s">
        <v>156</v>
      </c>
      <c r="C76" s="16" t="s">
        <v>157</v>
      </c>
      <c r="E76" s="16">
        <v>46292</v>
      </c>
      <c r="G76" s="3">
        <v>255767</v>
      </c>
      <c r="H76" s="3"/>
      <c r="I76" s="3">
        <v>6973146</v>
      </c>
      <c r="J76" s="3"/>
      <c r="K76" s="3">
        <v>0</v>
      </c>
      <c r="L76" s="3"/>
      <c r="M76" s="32">
        <v>66080</v>
      </c>
      <c r="N76" s="3"/>
      <c r="O76" s="3">
        <v>0</v>
      </c>
      <c r="P76" s="3"/>
      <c r="Q76" s="3">
        <v>4640804</v>
      </c>
      <c r="R76" s="3"/>
      <c r="S76" s="3">
        <v>6111298</v>
      </c>
      <c r="T76" s="3"/>
      <c r="U76" s="3">
        <v>232429</v>
      </c>
      <c r="V76" s="3"/>
      <c r="W76" s="3">
        <v>454880</v>
      </c>
      <c r="X76" s="3"/>
      <c r="Y76" s="3">
        <v>277994</v>
      </c>
      <c r="Z76" s="3"/>
      <c r="AA76" s="3">
        <v>0</v>
      </c>
      <c r="AB76" s="3"/>
      <c r="AC76" s="3">
        <v>0</v>
      </c>
      <c r="AD76" s="3"/>
      <c r="AE76" s="3" t="s">
        <v>156</v>
      </c>
      <c r="AG76" s="16" t="s">
        <v>157</v>
      </c>
      <c r="AH76" s="3"/>
      <c r="AI76" s="3">
        <v>0</v>
      </c>
      <c r="AJ76" s="3"/>
      <c r="AK76" s="3">
        <v>40897</v>
      </c>
      <c r="AL76" s="3"/>
      <c r="AM76" s="3">
        <v>0</v>
      </c>
      <c r="AN76" s="3"/>
      <c r="AO76" s="3">
        <v>0</v>
      </c>
      <c r="AP76" s="3"/>
      <c r="AQ76" s="3">
        <v>74808</v>
      </c>
      <c r="AR76" s="3"/>
      <c r="AS76" s="3">
        <v>0</v>
      </c>
      <c r="AT76" s="3"/>
      <c r="AU76" s="3">
        <v>0</v>
      </c>
      <c r="AV76" s="3"/>
      <c r="AW76" s="3">
        <v>0</v>
      </c>
      <c r="AX76" s="3"/>
      <c r="AY76" s="3">
        <v>0</v>
      </c>
      <c r="AZ76" s="3"/>
      <c r="BA76" s="3">
        <v>0</v>
      </c>
      <c r="BB76" s="3"/>
      <c r="BC76" s="3">
        <v>0</v>
      </c>
      <c r="BD76" s="3"/>
      <c r="BE76" s="17">
        <f t="shared" si="13"/>
        <v>19128103</v>
      </c>
      <c r="BF76" s="3" t="s">
        <v>156</v>
      </c>
      <c r="BH76" s="16" t="s">
        <v>157</v>
      </c>
      <c r="BI76" s="3"/>
      <c r="BJ76" s="3">
        <v>15000</v>
      </c>
      <c r="BK76" s="3"/>
      <c r="BL76" s="3">
        <v>0</v>
      </c>
      <c r="BM76" s="3"/>
      <c r="BN76" s="3">
        <v>0</v>
      </c>
      <c r="BO76" s="3"/>
      <c r="BP76" s="3">
        <v>0</v>
      </c>
      <c r="BQ76" s="3"/>
      <c r="BR76" s="17">
        <f t="shared" si="10"/>
        <v>19143103</v>
      </c>
      <c r="BS76" s="3"/>
      <c r="BT76" s="17">
        <f>GovRev!AV76-BR76</f>
        <v>171252</v>
      </c>
      <c r="BU76" s="3"/>
      <c r="BV76" s="3">
        <v>4416071</v>
      </c>
      <c r="BW76" s="3"/>
      <c r="BX76" s="3">
        <v>0</v>
      </c>
      <c r="BY76" s="3"/>
      <c r="BZ76" s="17">
        <f t="shared" si="9"/>
        <v>4587323</v>
      </c>
      <c r="CA76" s="17"/>
      <c r="CB76" s="17">
        <f>-BZ76+GovBS!AE76</f>
        <v>0</v>
      </c>
      <c r="CE76" s="3" t="s">
        <v>425</v>
      </c>
      <c r="CF76" s="3" t="str">
        <f t="shared" si="2"/>
        <v>Clermont County Educ Srv Ctr</v>
      </c>
      <c r="CG76" s="3" t="b">
        <f t="shared" si="3"/>
        <v>1</v>
      </c>
      <c r="CH76" s="3" t="b">
        <f t="shared" si="4"/>
        <v>1</v>
      </c>
      <c r="CI76" s="20" t="str">
        <f>GovRev!A76</f>
        <v>Clermont County Educ Srv Ctr</v>
      </c>
      <c r="CJ76" s="20" t="b">
        <f t="shared" si="12"/>
        <v>1</v>
      </c>
      <c r="CL76" s="20" t="str">
        <f t="shared" si="5"/>
        <v>Clermont</v>
      </c>
      <c r="CM76" s="20" t="b">
        <f t="shared" si="6"/>
        <v>1</v>
      </c>
      <c r="CN76" s="20" t="b">
        <f t="shared" si="7"/>
        <v>1</v>
      </c>
      <c r="CP76" s="16" t="b">
        <f>C76=GovRev!C76</f>
        <v>1</v>
      </c>
    </row>
    <row r="77" spans="1:94" s="66" customFormat="1" hidden="1">
      <c r="A77" s="66" t="s">
        <v>294</v>
      </c>
      <c r="C77" s="66" t="s">
        <v>158</v>
      </c>
      <c r="E77" s="66">
        <v>46375</v>
      </c>
      <c r="G77" s="65"/>
      <c r="H77" s="65"/>
      <c r="I77" s="65"/>
      <c r="J77" s="65"/>
      <c r="K77" s="65"/>
      <c r="L77" s="65"/>
      <c r="M77" s="80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6" t="s">
        <v>294</v>
      </c>
      <c r="AG77" s="66" t="s">
        <v>158</v>
      </c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7">
        <f t="shared" si="13"/>
        <v>0</v>
      </c>
      <c r="BF77" s="66" t="s">
        <v>294</v>
      </c>
      <c r="BH77" s="66" t="s">
        <v>158</v>
      </c>
      <c r="BI77" s="65"/>
      <c r="BJ77" s="65"/>
      <c r="BK77" s="65"/>
      <c r="BL77" s="65"/>
      <c r="BM77" s="65"/>
      <c r="BN77" s="65"/>
      <c r="BO77" s="65"/>
      <c r="BP77" s="65"/>
      <c r="BQ77" s="65"/>
      <c r="BR77" s="67">
        <f t="shared" si="10"/>
        <v>0</v>
      </c>
      <c r="BS77" s="65"/>
      <c r="BT77" s="67">
        <f>GovRev!AV77-BR77</f>
        <v>0</v>
      </c>
      <c r="BU77" s="65"/>
      <c r="BV77" s="65"/>
      <c r="BW77" s="65"/>
      <c r="BX77" s="65"/>
      <c r="BY77" s="65"/>
      <c r="BZ77" s="67">
        <f t="shared" si="9"/>
        <v>0</v>
      </c>
      <c r="CA77" s="67"/>
      <c r="CB77" s="67">
        <f>-BZ77+GovBS!AE77</f>
        <v>0</v>
      </c>
      <c r="CE77" s="66" t="s">
        <v>314</v>
      </c>
      <c r="CF77" s="65" t="str">
        <f t="shared" si="2"/>
        <v>Clinton Fayette Highland Educ-now Southern Ohio ESC</v>
      </c>
      <c r="CG77" s="65" t="b">
        <f t="shared" si="3"/>
        <v>1</v>
      </c>
      <c r="CH77" s="65" t="b">
        <f t="shared" si="4"/>
        <v>1</v>
      </c>
      <c r="CI77" s="68" t="str">
        <f>GovRev!A77</f>
        <v>Clinton Fayette Highland Educ-now Southern Ohio ESC</v>
      </c>
      <c r="CJ77" s="68" t="b">
        <f t="shared" si="12"/>
        <v>1</v>
      </c>
      <c r="CL77" s="68" t="str">
        <f t="shared" si="5"/>
        <v>Clinton</v>
      </c>
      <c r="CM77" s="68" t="b">
        <f t="shared" si="6"/>
        <v>1</v>
      </c>
      <c r="CN77" s="68" t="b">
        <f t="shared" si="7"/>
        <v>1</v>
      </c>
      <c r="CP77" s="66" t="b">
        <f>C77=GovRev!C77</f>
        <v>1</v>
      </c>
    </row>
    <row r="78" spans="1:94" s="16" customFormat="1">
      <c r="A78" s="16" t="s">
        <v>345</v>
      </c>
      <c r="C78" s="16" t="s">
        <v>159</v>
      </c>
      <c r="E78" s="16">
        <v>46417</v>
      </c>
      <c r="G78" s="3">
        <v>950612</v>
      </c>
      <c r="H78" s="3"/>
      <c r="I78" s="3">
        <v>1887445</v>
      </c>
      <c r="J78" s="3"/>
      <c r="K78" s="3">
        <v>0</v>
      </c>
      <c r="L78" s="3"/>
      <c r="M78" s="32">
        <v>0</v>
      </c>
      <c r="N78" s="3"/>
      <c r="O78" s="3">
        <v>0</v>
      </c>
      <c r="P78" s="3"/>
      <c r="Q78" s="3">
        <v>2386028</v>
      </c>
      <c r="R78" s="3"/>
      <c r="S78" s="3">
        <v>3038778</v>
      </c>
      <c r="T78" s="3"/>
      <c r="U78" s="3">
        <v>32161</v>
      </c>
      <c r="V78" s="3"/>
      <c r="W78" s="3">
        <v>610534</v>
      </c>
      <c r="X78" s="3"/>
      <c r="Y78" s="3">
        <v>172192</v>
      </c>
      <c r="Z78" s="3"/>
      <c r="AA78" s="3">
        <v>0</v>
      </c>
      <c r="AB78" s="3"/>
      <c r="AC78" s="3">
        <v>141437</v>
      </c>
      <c r="AD78" s="3"/>
      <c r="AE78" s="16" t="s">
        <v>345</v>
      </c>
      <c r="AG78" s="16" t="s">
        <v>159</v>
      </c>
      <c r="AH78" s="3"/>
      <c r="AI78" s="3">
        <v>522775</v>
      </c>
      <c r="AJ78" s="3"/>
      <c r="AK78" s="3">
        <v>344005</v>
      </c>
      <c r="AL78" s="3"/>
      <c r="AM78" s="3">
        <v>0</v>
      </c>
      <c r="AN78" s="3"/>
      <c r="AO78" s="3">
        <v>0</v>
      </c>
      <c r="AP78" s="3"/>
      <c r="AQ78" s="3">
        <v>53942</v>
      </c>
      <c r="AR78" s="3"/>
      <c r="AS78" s="3">
        <v>0</v>
      </c>
      <c r="AT78" s="3"/>
      <c r="AU78" s="3">
        <v>78959</v>
      </c>
      <c r="AV78" s="3"/>
      <c r="AW78" s="3">
        <v>0</v>
      </c>
      <c r="AX78" s="3"/>
      <c r="AY78" s="3">
        <v>38983</v>
      </c>
      <c r="AZ78" s="3"/>
      <c r="BA78" s="3">
        <v>24123</v>
      </c>
      <c r="BB78" s="3"/>
      <c r="BC78" s="3">
        <v>0</v>
      </c>
      <c r="BD78" s="3"/>
      <c r="BE78" s="17">
        <f t="shared" si="13"/>
        <v>10281974</v>
      </c>
      <c r="BF78" s="16" t="s">
        <v>345</v>
      </c>
      <c r="BH78" s="16" t="s">
        <v>159</v>
      </c>
      <c r="BI78" s="3"/>
      <c r="BJ78" s="3">
        <v>2059</v>
      </c>
      <c r="BK78" s="3"/>
      <c r="BL78" s="3">
        <v>0</v>
      </c>
      <c r="BM78" s="3"/>
      <c r="BN78" s="3">
        <v>0</v>
      </c>
      <c r="BO78" s="3"/>
      <c r="BP78" s="3">
        <v>0</v>
      </c>
      <c r="BQ78" s="3"/>
      <c r="BR78" s="17">
        <f t="shared" si="10"/>
        <v>10284033</v>
      </c>
      <c r="BS78" s="3"/>
      <c r="BT78" s="17">
        <f>GovRev!AV78-BR78</f>
        <v>674810</v>
      </c>
      <c r="BU78" s="3"/>
      <c r="BV78" s="3">
        <v>-63712</v>
      </c>
      <c r="BW78" s="3"/>
      <c r="BX78" s="3">
        <v>0</v>
      </c>
      <c r="BY78" s="3"/>
      <c r="BZ78" s="17">
        <f t="shared" si="9"/>
        <v>611098</v>
      </c>
      <c r="CA78" s="17"/>
      <c r="CB78" s="17">
        <f>-BZ78+GovBS!AE78</f>
        <v>0</v>
      </c>
      <c r="CE78" s="3"/>
      <c r="CF78" s="3" t="str">
        <f t="shared" si="2"/>
        <v>Columbiana County Educ Srv Ctr</v>
      </c>
      <c r="CG78" s="3" t="b">
        <f t="shared" si="3"/>
        <v>1</v>
      </c>
      <c r="CH78" s="3" t="b">
        <f t="shared" si="4"/>
        <v>1</v>
      </c>
      <c r="CI78" s="20" t="str">
        <f>GovRev!A78</f>
        <v>Columbiana County Educ Srv Ctr</v>
      </c>
      <c r="CJ78" s="20" t="b">
        <f t="shared" si="12"/>
        <v>1</v>
      </c>
      <c r="CL78" s="20" t="str">
        <f t="shared" si="5"/>
        <v>Columbiana</v>
      </c>
      <c r="CM78" s="20" t="b">
        <f t="shared" si="6"/>
        <v>1</v>
      </c>
      <c r="CN78" s="20" t="b">
        <f t="shared" si="7"/>
        <v>1</v>
      </c>
      <c r="CP78" s="16" t="b">
        <f>C78=GovRev!C78</f>
        <v>1</v>
      </c>
    </row>
    <row r="79" spans="1:94" s="16" customFormat="1">
      <c r="A79" s="3" t="s">
        <v>347</v>
      </c>
      <c r="C79" s="16" t="s">
        <v>160</v>
      </c>
      <c r="E79" s="16">
        <v>46532</v>
      </c>
      <c r="G79" s="3">
        <v>623479</v>
      </c>
      <c r="H79" s="3"/>
      <c r="I79" s="3">
        <v>28100755</v>
      </c>
      <c r="J79" s="3"/>
      <c r="K79" s="3">
        <v>453927</v>
      </c>
      <c r="L79" s="3"/>
      <c r="M79" s="32">
        <v>0</v>
      </c>
      <c r="N79" s="3"/>
      <c r="O79" s="3">
        <v>0</v>
      </c>
      <c r="P79" s="3"/>
      <c r="Q79" s="3">
        <v>6065544</v>
      </c>
      <c r="R79" s="3"/>
      <c r="S79" s="3">
        <v>13037389</v>
      </c>
      <c r="T79" s="3"/>
      <c r="U79" s="3">
        <v>68537</v>
      </c>
      <c r="V79" s="3"/>
      <c r="W79" s="3">
        <v>11495376</v>
      </c>
      <c r="X79" s="3"/>
      <c r="Y79" s="3">
        <v>1169044</v>
      </c>
      <c r="Z79" s="3"/>
      <c r="AA79" s="3">
        <v>15784</v>
      </c>
      <c r="AB79" s="3"/>
      <c r="AC79" s="3">
        <v>1131132</v>
      </c>
      <c r="AD79" s="3"/>
      <c r="AE79" s="3" t="s">
        <v>347</v>
      </c>
      <c r="AG79" s="16" t="s">
        <v>160</v>
      </c>
      <c r="AH79" s="3"/>
      <c r="AI79" s="3">
        <v>4531</v>
      </c>
      <c r="AJ79" s="3"/>
      <c r="AK79" s="3">
        <v>160686</v>
      </c>
      <c r="AL79" s="3"/>
      <c r="AM79" s="3">
        <v>0</v>
      </c>
      <c r="AN79" s="3"/>
      <c r="AO79" s="3">
        <v>0</v>
      </c>
      <c r="AP79" s="3"/>
      <c r="AQ79" s="3">
        <v>6117831</v>
      </c>
      <c r="AR79" s="3"/>
      <c r="AS79" s="3">
        <v>61450</v>
      </c>
      <c r="AT79" s="3"/>
      <c r="AU79" s="3">
        <v>0</v>
      </c>
      <c r="AV79" s="3"/>
      <c r="AW79" s="3">
        <v>0</v>
      </c>
      <c r="AX79" s="3"/>
      <c r="AY79" s="3">
        <v>92895</v>
      </c>
      <c r="AZ79" s="3"/>
      <c r="BA79" s="3">
        <v>82625</v>
      </c>
      <c r="BB79" s="3"/>
      <c r="BC79" s="3">
        <v>0</v>
      </c>
      <c r="BD79" s="3"/>
      <c r="BE79" s="17">
        <f t="shared" si="13"/>
        <v>68680985</v>
      </c>
      <c r="BF79" s="3" t="s">
        <v>347</v>
      </c>
      <c r="BH79" s="16" t="s">
        <v>160</v>
      </c>
      <c r="BI79" s="3"/>
      <c r="BJ79" s="3">
        <v>0</v>
      </c>
      <c r="BK79" s="3"/>
      <c r="BL79" s="3">
        <v>0</v>
      </c>
      <c r="BM79" s="3"/>
      <c r="BN79" s="3">
        <v>0</v>
      </c>
      <c r="BO79" s="3"/>
      <c r="BP79" s="3">
        <v>0</v>
      </c>
      <c r="BQ79" s="3"/>
      <c r="BR79" s="17">
        <f t="shared" si="10"/>
        <v>68680985</v>
      </c>
      <c r="BS79" s="3"/>
      <c r="BT79" s="17">
        <f>GovRev!AV79-BR79</f>
        <v>-40011</v>
      </c>
      <c r="BU79" s="3"/>
      <c r="BV79" s="3">
        <v>22003506</v>
      </c>
      <c r="BW79" s="3"/>
      <c r="BX79" s="3">
        <v>0</v>
      </c>
      <c r="BY79" s="3"/>
      <c r="BZ79" s="17">
        <f t="shared" si="9"/>
        <v>21963495</v>
      </c>
      <c r="CA79" s="17"/>
      <c r="CB79" s="17">
        <f>-BZ79+GovBS!AE79</f>
        <v>0</v>
      </c>
      <c r="CE79" s="16" t="s">
        <v>315</v>
      </c>
      <c r="CF79" s="3" t="str">
        <f t="shared" si="2"/>
        <v>Cuyahoga Educ Srv Ctr-now Educ Srv Ctr of Cuyahoga County</v>
      </c>
      <c r="CG79" s="3" t="b">
        <f t="shared" ref="CG79:CG130" si="14">A79=AE79</f>
        <v>1</v>
      </c>
      <c r="CH79" s="3" t="b">
        <f t="shared" ref="CH79:CH130" si="15">A79=BF79</f>
        <v>1</v>
      </c>
      <c r="CI79" s="20" t="str">
        <f>GovRev!A79</f>
        <v>Cuyahoga Educ Srv Ctr-now Educ Srv Ctr of Cuyahoga County</v>
      </c>
      <c r="CJ79" s="20" t="b">
        <f t="shared" si="12"/>
        <v>1</v>
      </c>
      <c r="CL79" s="20" t="str">
        <f t="shared" ref="CL79:CL130" si="16">C79</f>
        <v>Cuyahoga</v>
      </c>
      <c r="CM79" s="20" t="b">
        <f t="shared" ref="CM79:CM130" si="17">C79=AG79</f>
        <v>1</v>
      </c>
      <c r="CN79" s="20" t="b">
        <f t="shared" ref="CN79:CN130" si="18">C79=BH79</f>
        <v>1</v>
      </c>
      <c r="CP79" s="16" t="b">
        <f>C79=GovRev!C79</f>
        <v>1</v>
      </c>
    </row>
    <row r="80" spans="1:94" s="66" customFormat="1" hidden="1">
      <c r="A80" s="65" t="s">
        <v>376</v>
      </c>
      <c r="C80" s="66" t="s">
        <v>161</v>
      </c>
      <c r="E80" s="66">
        <v>46615</v>
      </c>
      <c r="G80" s="65"/>
      <c r="H80" s="65"/>
      <c r="I80" s="65"/>
      <c r="J80" s="65"/>
      <c r="K80" s="65"/>
      <c r="L80" s="65"/>
      <c r="M80" s="80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 t="s">
        <v>376</v>
      </c>
      <c r="AG80" s="66" t="s">
        <v>161</v>
      </c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7">
        <f t="shared" si="13"/>
        <v>0</v>
      </c>
      <c r="BF80" s="65" t="s">
        <v>376</v>
      </c>
      <c r="BH80" s="66" t="s">
        <v>161</v>
      </c>
      <c r="BI80" s="65"/>
      <c r="BJ80" s="65"/>
      <c r="BK80" s="65"/>
      <c r="BL80" s="65"/>
      <c r="BM80" s="65"/>
      <c r="BN80" s="65"/>
      <c r="BO80" s="65"/>
      <c r="BP80" s="65"/>
      <c r="BQ80" s="65"/>
      <c r="BR80" s="67">
        <f t="shared" si="10"/>
        <v>0</v>
      </c>
      <c r="BS80" s="65"/>
      <c r="BT80" s="67">
        <f>GovRev!AV80-BR80</f>
        <v>0</v>
      </c>
      <c r="BU80" s="65"/>
      <c r="BV80" s="65"/>
      <c r="BW80" s="65"/>
      <c r="BX80" s="65"/>
      <c r="BY80" s="65"/>
      <c r="BZ80" s="67">
        <f t="shared" si="9"/>
        <v>0</v>
      </c>
      <c r="CA80" s="67"/>
      <c r="CB80" s="67">
        <f>-BZ80+GovBS!AE80</f>
        <v>0</v>
      </c>
      <c r="CE80" s="66" t="s">
        <v>377</v>
      </c>
      <c r="CF80" s="65" t="str">
        <f t="shared" ref="CF80:CF130" si="19">A80</f>
        <v>Darke County Educ Srv Ctr (CASH)</v>
      </c>
      <c r="CG80" s="65" t="b">
        <f t="shared" si="14"/>
        <v>1</v>
      </c>
      <c r="CH80" s="65" t="b">
        <f t="shared" si="15"/>
        <v>1</v>
      </c>
      <c r="CI80" s="68" t="str">
        <f>GovRev!A80</f>
        <v>Darke County Educ Srv Ctr (CASH)</v>
      </c>
      <c r="CJ80" s="68" t="b">
        <f t="shared" si="12"/>
        <v>1</v>
      </c>
      <c r="CL80" s="68" t="str">
        <f t="shared" si="16"/>
        <v>Darke</v>
      </c>
      <c r="CM80" s="68" t="b">
        <f t="shared" si="17"/>
        <v>1</v>
      </c>
      <c r="CN80" s="68" t="b">
        <f t="shared" si="18"/>
        <v>1</v>
      </c>
      <c r="CP80" s="66" t="b">
        <f>C80=GovRev!C80</f>
        <v>1</v>
      </c>
    </row>
    <row r="81" spans="1:94" s="66" customFormat="1" hidden="1">
      <c r="A81" s="65" t="s">
        <v>346</v>
      </c>
      <c r="C81" s="66" t="s">
        <v>162</v>
      </c>
      <c r="E81" s="66">
        <v>46730</v>
      </c>
      <c r="G81" s="65"/>
      <c r="H81" s="65"/>
      <c r="I81" s="65"/>
      <c r="J81" s="65"/>
      <c r="K81" s="65"/>
      <c r="L81" s="65"/>
      <c r="M81" s="80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 t="s">
        <v>346</v>
      </c>
      <c r="AG81" s="66" t="s">
        <v>162</v>
      </c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7">
        <f t="shared" si="13"/>
        <v>0</v>
      </c>
      <c r="BF81" s="65" t="s">
        <v>346</v>
      </c>
      <c r="BH81" s="66" t="s">
        <v>162</v>
      </c>
      <c r="BI81" s="65"/>
      <c r="BJ81" s="65"/>
      <c r="BK81" s="65"/>
      <c r="BL81" s="65"/>
      <c r="BM81" s="65"/>
      <c r="BN81" s="65"/>
      <c r="BO81" s="65"/>
      <c r="BP81" s="65"/>
      <c r="BQ81" s="65"/>
      <c r="BR81" s="67">
        <f t="shared" si="10"/>
        <v>0</v>
      </c>
      <c r="BS81" s="65"/>
      <c r="BT81" s="67">
        <f>GovRev!AV81-BR81</f>
        <v>0</v>
      </c>
      <c r="BU81" s="65"/>
      <c r="BV81" s="65"/>
      <c r="BW81" s="65"/>
      <c r="BX81" s="65"/>
      <c r="BY81" s="65"/>
      <c r="BZ81" s="67">
        <f t="shared" si="9"/>
        <v>0</v>
      </c>
      <c r="CA81" s="67"/>
      <c r="CB81" s="67">
        <f>-BZ81+GovBS!AE81</f>
        <v>0</v>
      </c>
      <c r="CE81" s="66" t="s">
        <v>316</v>
      </c>
      <c r="CF81" s="65" t="str">
        <f t="shared" si="19"/>
        <v>Delaware-Union Educ Srv Ctr - see note to right</v>
      </c>
      <c r="CG81" s="65" t="b">
        <f t="shared" si="14"/>
        <v>1</v>
      </c>
      <c r="CH81" s="65" t="b">
        <f t="shared" si="15"/>
        <v>1</v>
      </c>
      <c r="CI81" s="68" t="str">
        <f>GovRev!A81</f>
        <v>Delaware-Union Educ Srv Ctr - see note to right</v>
      </c>
      <c r="CJ81" s="68" t="b">
        <f t="shared" si="12"/>
        <v>1</v>
      </c>
      <c r="CL81" s="68" t="str">
        <f t="shared" si="16"/>
        <v>Delaware</v>
      </c>
      <c r="CM81" s="68" t="b">
        <f t="shared" si="17"/>
        <v>1</v>
      </c>
      <c r="CN81" s="68" t="b">
        <f t="shared" si="18"/>
        <v>1</v>
      </c>
      <c r="CP81" s="66" t="b">
        <f>C81=GovRev!C81</f>
        <v>1</v>
      </c>
    </row>
    <row r="82" spans="1:94" s="16" customFormat="1">
      <c r="A82" s="3" t="s">
        <v>344</v>
      </c>
      <c r="C82" s="16" t="s">
        <v>202</v>
      </c>
      <c r="G82" s="3">
        <v>692330</v>
      </c>
      <c r="H82" s="3"/>
      <c r="I82" s="3">
        <v>1363395</v>
      </c>
      <c r="J82" s="3"/>
      <c r="K82" s="3">
        <v>8347</v>
      </c>
      <c r="L82" s="3"/>
      <c r="M82" s="32">
        <v>0</v>
      </c>
      <c r="N82" s="3"/>
      <c r="O82" s="3">
        <v>335052</v>
      </c>
      <c r="P82" s="3"/>
      <c r="Q82" s="3">
        <v>2297450</v>
      </c>
      <c r="R82" s="3"/>
      <c r="S82" s="3">
        <v>2914854</v>
      </c>
      <c r="T82" s="3"/>
      <c r="U82" s="3">
        <v>17676</v>
      </c>
      <c r="V82" s="3"/>
      <c r="W82" s="3">
        <v>323222</v>
      </c>
      <c r="X82" s="3"/>
      <c r="Y82" s="3">
        <v>247133</v>
      </c>
      <c r="Z82" s="3"/>
      <c r="AA82" s="3">
        <v>179333</v>
      </c>
      <c r="AB82" s="3"/>
      <c r="AC82" s="3">
        <v>200608</v>
      </c>
      <c r="AD82" s="3"/>
      <c r="AE82" s="3" t="s">
        <v>344</v>
      </c>
      <c r="AG82" s="16" t="s">
        <v>202</v>
      </c>
      <c r="AH82" s="3"/>
      <c r="AI82" s="3">
        <v>12416</v>
      </c>
      <c r="AJ82" s="3"/>
      <c r="AK82" s="3">
        <v>360592</v>
      </c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v>0</v>
      </c>
      <c r="AT82" s="3"/>
      <c r="AU82" s="3">
        <v>0</v>
      </c>
      <c r="AV82" s="3"/>
      <c r="AW82" s="3">
        <v>0</v>
      </c>
      <c r="AX82" s="3"/>
      <c r="AY82" s="3">
        <v>83189</v>
      </c>
      <c r="AZ82" s="3"/>
      <c r="BA82" s="3">
        <v>28186</v>
      </c>
      <c r="BB82" s="3"/>
      <c r="BC82" s="3">
        <v>0</v>
      </c>
      <c r="BD82" s="3"/>
      <c r="BE82" s="17">
        <f t="shared" si="13"/>
        <v>9063783</v>
      </c>
      <c r="BF82" s="3" t="s">
        <v>344</v>
      </c>
      <c r="BH82" s="16" t="s">
        <v>202</v>
      </c>
      <c r="BI82" s="3"/>
      <c r="BJ82" s="3">
        <v>0</v>
      </c>
      <c r="BK82" s="3"/>
      <c r="BL82" s="3">
        <v>0</v>
      </c>
      <c r="BM82" s="3"/>
      <c r="BN82" s="3">
        <v>0</v>
      </c>
      <c r="BO82" s="3"/>
      <c r="BP82" s="3">
        <v>0</v>
      </c>
      <c r="BQ82" s="3"/>
      <c r="BR82" s="17">
        <f t="shared" ref="BR82" si="20">+BE82+BJ82+BL82+BP82+BN82</f>
        <v>9063783</v>
      </c>
      <c r="BS82" s="3"/>
      <c r="BT82" s="17">
        <f>GovRev!AV82-BR82</f>
        <v>443753</v>
      </c>
      <c r="BU82" s="3"/>
      <c r="BV82" s="3">
        <v>611515</v>
      </c>
      <c r="BW82" s="3"/>
      <c r="BX82" s="3">
        <v>0</v>
      </c>
      <c r="BY82" s="3"/>
      <c r="BZ82" s="17">
        <f t="shared" ref="BZ82" si="21">+BV82+BT82+BX82</f>
        <v>1055268</v>
      </c>
      <c r="CA82" s="17"/>
      <c r="CB82" s="17">
        <f>-BZ82+GovBS!AE82</f>
        <v>0</v>
      </c>
      <c r="CE82" s="16" t="s">
        <v>317</v>
      </c>
      <c r="CF82" s="3" t="str">
        <f t="shared" si="19"/>
        <v>East Central Ohio Educ Srv Ctr</v>
      </c>
      <c r="CG82" s="3" t="b">
        <f t="shared" si="14"/>
        <v>1</v>
      </c>
      <c r="CH82" s="3" t="b">
        <f t="shared" si="15"/>
        <v>1</v>
      </c>
      <c r="CI82" s="20" t="str">
        <f>GovRev!A82</f>
        <v>East Central Ohio Educ Srv Ctr</v>
      </c>
      <c r="CJ82" s="20" t="b">
        <f t="shared" si="12"/>
        <v>1</v>
      </c>
      <c r="CL82" s="20" t="str">
        <f t="shared" si="16"/>
        <v>Tuscarawas</v>
      </c>
      <c r="CM82" s="20" t="b">
        <f t="shared" si="17"/>
        <v>1</v>
      </c>
      <c r="CN82" s="20" t="b">
        <f t="shared" si="18"/>
        <v>1</v>
      </c>
      <c r="CP82" s="16" t="b">
        <f>C82=GovRev!C82</f>
        <v>1</v>
      </c>
    </row>
    <row r="83" spans="1:94" s="16" customFormat="1">
      <c r="A83" s="3" t="s">
        <v>382</v>
      </c>
      <c r="C83" s="16" t="s">
        <v>165</v>
      </c>
      <c r="E83" s="16">
        <v>46938</v>
      </c>
      <c r="G83" s="3">
        <v>845931</v>
      </c>
      <c r="H83" s="3"/>
      <c r="I83" s="3">
        <v>10000738</v>
      </c>
      <c r="J83" s="3"/>
      <c r="K83" s="3">
        <v>0</v>
      </c>
      <c r="L83" s="3"/>
      <c r="M83" s="32">
        <v>0</v>
      </c>
      <c r="N83" s="3"/>
      <c r="O83" s="3">
        <v>55817</v>
      </c>
      <c r="P83" s="3"/>
      <c r="Q83" s="3">
        <v>8626096</v>
      </c>
      <c r="R83" s="3"/>
      <c r="S83" s="3">
        <v>12382658</v>
      </c>
      <c r="T83" s="3"/>
      <c r="U83" s="3">
        <v>68595</v>
      </c>
      <c r="V83" s="3"/>
      <c r="W83" s="3">
        <v>10651287</v>
      </c>
      <c r="X83" s="3"/>
      <c r="Y83" s="3">
        <v>3064748</v>
      </c>
      <c r="Z83" s="3"/>
      <c r="AA83" s="3">
        <v>594100</v>
      </c>
      <c r="AB83" s="3"/>
      <c r="AC83" s="3">
        <v>1049089</v>
      </c>
      <c r="AD83" s="3"/>
      <c r="AE83" s="3" t="s">
        <v>382</v>
      </c>
      <c r="AG83" s="16" t="s">
        <v>165</v>
      </c>
      <c r="AH83" s="3"/>
      <c r="AI83" s="3">
        <v>211999</v>
      </c>
      <c r="AJ83" s="3"/>
      <c r="AK83" s="3">
        <v>14719881</v>
      </c>
      <c r="AL83" s="3"/>
      <c r="AM83" s="3">
        <v>0</v>
      </c>
      <c r="AN83" s="3"/>
      <c r="AO83" s="3">
        <v>0</v>
      </c>
      <c r="AP83" s="3"/>
      <c r="AQ83" s="3">
        <v>69585</v>
      </c>
      <c r="AR83" s="3"/>
      <c r="AS83" s="3">
        <v>92637</v>
      </c>
      <c r="AT83" s="3"/>
      <c r="AU83" s="3">
        <v>71403</v>
      </c>
      <c r="AV83" s="3"/>
      <c r="AW83" s="3">
        <v>0</v>
      </c>
      <c r="AX83" s="3"/>
      <c r="AY83" s="3">
        <v>288125</v>
      </c>
      <c r="AZ83" s="3"/>
      <c r="BA83" s="3">
        <v>139302</v>
      </c>
      <c r="BB83" s="3"/>
      <c r="BC83" s="3">
        <v>0</v>
      </c>
      <c r="BD83" s="3"/>
      <c r="BE83" s="17">
        <f>SUM(G83:BC83)</f>
        <v>62931991</v>
      </c>
      <c r="BF83" s="3" t="s">
        <v>382</v>
      </c>
      <c r="BH83" s="16" t="s">
        <v>165</v>
      </c>
      <c r="BI83" s="3"/>
      <c r="BJ83" s="3">
        <v>85039</v>
      </c>
      <c r="BK83" s="3"/>
      <c r="BL83" s="3">
        <v>0</v>
      </c>
      <c r="BM83" s="3"/>
      <c r="BN83" s="3">
        <v>0</v>
      </c>
      <c r="BO83" s="3"/>
      <c r="BP83" s="3">
        <v>0</v>
      </c>
      <c r="BQ83" s="3"/>
      <c r="BR83" s="17">
        <f>+BE83+BJ83+BL83+BP83+BN83</f>
        <v>63017030</v>
      </c>
      <c r="BS83" s="3"/>
      <c r="BT83" s="17">
        <f>GovRev!AV83-BR83</f>
        <v>215449</v>
      </c>
      <c r="BU83" s="3"/>
      <c r="BV83" s="3">
        <v>12081749</v>
      </c>
      <c r="BW83" s="3"/>
      <c r="BX83" s="3">
        <v>0</v>
      </c>
      <c r="BY83" s="3"/>
      <c r="BZ83" s="17">
        <f>+BV83+BT83+BX83</f>
        <v>12297198</v>
      </c>
      <c r="CA83" s="17"/>
      <c r="CB83" s="17">
        <f>-BZ83+GovBS!AE83</f>
        <v>0</v>
      </c>
      <c r="CE83" s="16" t="s">
        <v>319</v>
      </c>
      <c r="CF83" s="3" t="str">
        <f>A83</f>
        <v>Educational Service Center of Central Ohio</v>
      </c>
      <c r="CG83" s="3" t="b">
        <f>A83=AE83</f>
        <v>1</v>
      </c>
      <c r="CH83" s="3" t="b">
        <f>A83=BF83</f>
        <v>1</v>
      </c>
      <c r="CI83" s="20" t="str">
        <f>GovRev!A83</f>
        <v>Educational Service Center of Central Ohio</v>
      </c>
      <c r="CJ83" s="20" t="b">
        <f>CF83=CI83</f>
        <v>1</v>
      </c>
      <c r="CL83" s="20" t="str">
        <f>C83</f>
        <v>Franklin</v>
      </c>
      <c r="CM83" s="20" t="b">
        <f>C83=AG83</f>
        <v>1</v>
      </c>
      <c r="CN83" s="20" t="b">
        <f>C83=BH83</f>
        <v>1</v>
      </c>
      <c r="CP83" s="16" t="b">
        <f>C83=GovRev!C83</f>
        <v>1</v>
      </c>
    </row>
    <row r="84" spans="1:94" s="66" customFormat="1" hidden="1">
      <c r="A84" s="66" t="s">
        <v>292</v>
      </c>
      <c r="C84" s="66" t="s">
        <v>163</v>
      </c>
      <c r="E84" s="66">
        <v>125690</v>
      </c>
      <c r="G84" s="65"/>
      <c r="H84" s="65"/>
      <c r="I84" s="65"/>
      <c r="J84" s="65"/>
      <c r="K84" s="65"/>
      <c r="L84" s="65"/>
      <c r="M84" s="80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6" t="s">
        <v>292</v>
      </c>
      <c r="AG84" s="66" t="s">
        <v>163</v>
      </c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7">
        <f t="shared" si="13"/>
        <v>0</v>
      </c>
      <c r="BF84" s="66" t="s">
        <v>292</v>
      </c>
      <c r="BH84" s="66" t="s">
        <v>163</v>
      </c>
      <c r="BI84" s="65"/>
      <c r="BJ84" s="65"/>
      <c r="BK84" s="65"/>
      <c r="BL84" s="65"/>
      <c r="BM84" s="65"/>
      <c r="BN84" s="65"/>
      <c r="BO84" s="65"/>
      <c r="BP84" s="65"/>
      <c r="BQ84" s="65"/>
      <c r="BR84" s="67">
        <f t="shared" si="10"/>
        <v>0</v>
      </c>
      <c r="BS84" s="65"/>
      <c r="BT84" s="67">
        <f>GovRev!AV84-BR84</f>
        <v>0</v>
      </c>
      <c r="BU84" s="65"/>
      <c r="BV84" s="65"/>
      <c r="BW84" s="65"/>
      <c r="BX84" s="65"/>
      <c r="BY84" s="65"/>
      <c r="BZ84" s="67">
        <f t="shared" ref="BZ84:BZ130" si="22">+BV84+BT84+BX84</f>
        <v>0</v>
      </c>
      <c r="CA84" s="67"/>
      <c r="CB84" s="67">
        <f>-BZ84+GovBS!AE84</f>
        <v>0</v>
      </c>
      <c r="CE84" s="66" t="s">
        <v>318</v>
      </c>
      <c r="CF84" s="65" t="str">
        <f t="shared" si="19"/>
        <v>Erie-Huron-Ottawa Educ Srv Ctr-now North Point ESC</v>
      </c>
      <c r="CG84" s="65" t="b">
        <f t="shared" si="14"/>
        <v>1</v>
      </c>
      <c r="CH84" s="65" t="b">
        <f t="shared" si="15"/>
        <v>1</v>
      </c>
      <c r="CI84" s="68" t="str">
        <f>GovRev!A84</f>
        <v>Erie-Huron-Ottawa Educ Srv Ctr-now North Point ESC</v>
      </c>
      <c r="CJ84" s="68" t="b">
        <f t="shared" si="12"/>
        <v>1</v>
      </c>
      <c r="CL84" s="68" t="str">
        <f t="shared" si="16"/>
        <v>Erie</v>
      </c>
      <c r="CM84" s="68" t="b">
        <f t="shared" si="17"/>
        <v>1</v>
      </c>
      <c r="CN84" s="68" t="b">
        <f t="shared" si="18"/>
        <v>1</v>
      </c>
      <c r="CP84" s="66" t="b">
        <f>C84=GovRev!C84</f>
        <v>1</v>
      </c>
    </row>
    <row r="85" spans="1:94" s="16" customFormat="1">
      <c r="A85" s="3" t="s">
        <v>385</v>
      </c>
      <c r="C85" s="16" t="s">
        <v>164</v>
      </c>
      <c r="E85" s="16">
        <v>46839</v>
      </c>
      <c r="G85" s="3">
        <v>284801</v>
      </c>
      <c r="H85" s="3"/>
      <c r="I85" s="3">
        <v>1207584</v>
      </c>
      <c r="J85" s="3"/>
      <c r="K85" s="3">
        <v>0</v>
      </c>
      <c r="L85" s="3"/>
      <c r="M85" s="32">
        <v>0</v>
      </c>
      <c r="N85" s="3"/>
      <c r="O85" s="3">
        <v>68955</v>
      </c>
      <c r="P85" s="3"/>
      <c r="Q85" s="3">
        <v>2078556</v>
      </c>
      <c r="R85" s="3"/>
      <c r="S85" s="3">
        <v>2703082</v>
      </c>
      <c r="T85" s="3"/>
      <c r="U85" s="3">
        <v>33802</v>
      </c>
      <c r="V85" s="3"/>
      <c r="W85" s="3">
        <v>1504656</v>
      </c>
      <c r="X85" s="3"/>
      <c r="Y85" s="3">
        <v>209722</v>
      </c>
      <c r="Z85" s="3"/>
      <c r="AA85" s="3">
        <v>0</v>
      </c>
      <c r="AB85" s="3"/>
      <c r="AC85" s="3">
        <v>51985</v>
      </c>
      <c r="AD85" s="3"/>
      <c r="AE85" s="3" t="s">
        <v>385</v>
      </c>
      <c r="AG85" s="16" t="s">
        <v>164</v>
      </c>
      <c r="AH85" s="3"/>
      <c r="AI85" s="3">
        <v>0</v>
      </c>
      <c r="AJ85" s="3"/>
      <c r="AK85" s="3">
        <v>75502</v>
      </c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v>0</v>
      </c>
      <c r="AT85" s="3"/>
      <c r="AU85" s="3">
        <v>0</v>
      </c>
      <c r="AV85" s="3"/>
      <c r="AW85" s="3">
        <v>0</v>
      </c>
      <c r="AX85" s="3"/>
      <c r="AY85" s="3">
        <v>6051</v>
      </c>
      <c r="AZ85" s="3"/>
      <c r="BA85" s="3">
        <v>2064</v>
      </c>
      <c r="BB85" s="3"/>
      <c r="BC85" s="3">
        <v>0</v>
      </c>
      <c r="BD85" s="3"/>
      <c r="BE85" s="17">
        <f t="shared" si="13"/>
        <v>8226760</v>
      </c>
      <c r="BF85" s="3" t="s">
        <v>385</v>
      </c>
      <c r="BH85" s="16" t="s">
        <v>164</v>
      </c>
      <c r="BI85" s="3"/>
      <c r="BJ85" s="3">
        <v>0</v>
      </c>
      <c r="BK85" s="3"/>
      <c r="BL85" s="3">
        <v>0</v>
      </c>
      <c r="BM85" s="3"/>
      <c r="BN85" s="3">
        <v>0</v>
      </c>
      <c r="BO85" s="3"/>
      <c r="BP85" s="3">
        <v>0</v>
      </c>
      <c r="BQ85" s="3"/>
      <c r="BR85" s="17">
        <f t="shared" si="10"/>
        <v>8226760</v>
      </c>
      <c r="BS85" s="3"/>
      <c r="BT85" s="17">
        <f>GovRev!AV85-BR85</f>
        <v>90700</v>
      </c>
      <c r="BU85" s="3"/>
      <c r="BV85" s="3">
        <v>1063091</v>
      </c>
      <c r="BW85" s="3"/>
      <c r="BX85" s="3">
        <v>0</v>
      </c>
      <c r="BY85" s="3"/>
      <c r="BZ85" s="17">
        <f t="shared" si="22"/>
        <v>1153791</v>
      </c>
      <c r="CA85" s="17"/>
      <c r="CB85" s="17">
        <f>-BZ85+GovBS!AE85</f>
        <v>0</v>
      </c>
      <c r="CF85" s="3" t="str">
        <f t="shared" si="19"/>
        <v>Fairfield County Educ Srv Ctr</v>
      </c>
      <c r="CG85" s="3" t="b">
        <f t="shared" si="14"/>
        <v>1</v>
      </c>
      <c r="CH85" s="3" t="b">
        <f t="shared" si="15"/>
        <v>1</v>
      </c>
      <c r="CI85" s="20" t="str">
        <f>GovRev!A85</f>
        <v>Fairfield County Educ Srv Ctr</v>
      </c>
      <c r="CJ85" s="20" t="b">
        <f t="shared" si="12"/>
        <v>1</v>
      </c>
      <c r="CL85" s="20" t="str">
        <f t="shared" si="16"/>
        <v>Fairfield</v>
      </c>
      <c r="CM85" s="20" t="b">
        <f t="shared" si="17"/>
        <v>1</v>
      </c>
      <c r="CN85" s="20" t="b">
        <f t="shared" si="18"/>
        <v>1</v>
      </c>
      <c r="CP85" s="16" t="b">
        <f>C85=GovRev!C85</f>
        <v>1</v>
      </c>
    </row>
    <row r="86" spans="1:94" s="16" customFormat="1">
      <c r="A86" s="3" t="s">
        <v>167</v>
      </c>
      <c r="C86" s="16" t="s">
        <v>168</v>
      </c>
      <c r="E86" s="16">
        <v>125682</v>
      </c>
      <c r="G86" s="3">
        <v>972453</v>
      </c>
      <c r="H86" s="3"/>
      <c r="I86" s="3">
        <v>135</v>
      </c>
      <c r="J86" s="3"/>
      <c r="K86" s="3">
        <v>0</v>
      </c>
      <c r="L86" s="3"/>
      <c r="M86" s="32">
        <v>0</v>
      </c>
      <c r="N86" s="3"/>
      <c r="O86" s="3">
        <v>0</v>
      </c>
      <c r="P86" s="3"/>
      <c r="Q86" s="3">
        <v>287956</v>
      </c>
      <c r="R86" s="3"/>
      <c r="S86" s="3">
        <v>1083634</v>
      </c>
      <c r="T86" s="3"/>
      <c r="U86" s="3">
        <v>28906</v>
      </c>
      <c r="V86" s="3"/>
      <c r="W86" s="3">
        <v>893944</v>
      </c>
      <c r="X86" s="3"/>
      <c r="Y86" s="3">
        <v>115701</v>
      </c>
      <c r="Z86" s="3"/>
      <c r="AA86" s="3">
        <v>0</v>
      </c>
      <c r="AB86" s="3"/>
      <c r="AC86" s="3">
        <v>40707</v>
      </c>
      <c r="AD86" s="3"/>
      <c r="AE86" s="3" t="s">
        <v>167</v>
      </c>
      <c r="AG86" s="16" t="s">
        <v>168</v>
      </c>
      <c r="AH86" s="3"/>
      <c r="AI86" s="3">
        <v>356527</v>
      </c>
      <c r="AJ86" s="3"/>
      <c r="AK86" s="3">
        <v>51295</v>
      </c>
      <c r="AL86" s="3"/>
      <c r="AM86" s="3">
        <v>0</v>
      </c>
      <c r="AN86" s="3"/>
      <c r="AO86" s="3">
        <v>0</v>
      </c>
      <c r="AP86" s="3"/>
      <c r="AQ86" s="3">
        <v>28140</v>
      </c>
      <c r="AR86" s="3"/>
      <c r="AS86" s="3">
        <v>0</v>
      </c>
      <c r="AT86" s="3"/>
      <c r="AU86" s="3">
        <v>0</v>
      </c>
      <c r="AV86" s="3"/>
      <c r="AW86" s="3">
        <v>0</v>
      </c>
      <c r="AX86" s="3"/>
      <c r="AY86" s="3">
        <v>0</v>
      </c>
      <c r="AZ86" s="3"/>
      <c r="BA86" s="3">
        <v>0</v>
      </c>
      <c r="BB86" s="3"/>
      <c r="BC86" s="3">
        <v>0</v>
      </c>
      <c r="BD86" s="3"/>
      <c r="BE86" s="17">
        <f t="shared" si="13"/>
        <v>3859398</v>
      </c>
      <c r="BF86" s="3" t="s">
        <v>167</v>
      </c>
      <c r="BH86" s="16" t="s">
        <v>168</v>
      </c>
      <c r="BI86" s="3"/>
      <c r="BJ86" s="3">
        <v>890</v>
      </c>
      <c r="BK86" s="3"/>
      <c r="BL86" s="3">
        <v>0</v>
      </c>
      <c r="BM86" s="3"/>
      <c r="BN86" s="3">
        <v>0</v>
      </c>
      <c r="BO86" s="3"/>
      <c r="BP86" s="3">
        <v>0</v>
      </c>
      <c r="BQ86" s="3"/>
      <c r="BR86" s="17">
        <f t="shared" si="10"/>
        <v>3860288</v>
      </c>
      <c r="BS86" s="3"/>
      <c r="BT86" s="17">
        <f>GovRev!AV86-BR86</f>
        <v>369275</v>
      </c>
      <c r="BU86" s="3"/>
      <c r="BV86" s="3">
        <v>935416</v>
      </c>
      <c r="BW86" s="3"/>
      <c r="BX86" s="3">
        <v>0</v>
      </c>
      <c r="BY86" s="3"/>
      <c r="BZ86" s="17">
        <f t="shared" si="22"/>
        <v>1304691</v>
      </c>
      <c r="CA86" s="17"/>
      <c r="CB86" s="17">
        <f>-BZ86+GovBS!AE86</f>
        <v>0</v>
      </c>
      <c r="CE86" s="3"/>
      <c r="CF86" s="3" t="str">
        <f t="shared" si="19"/>
        <v>Gallia-Vinton Educ Srv Ctr</v>
      </c>
      <c r="CG86" s="3" t="b">
        <f t="shared" si="14"/>
        <v>1</v>
      </c>
      <c r="CH86" s="3" t="b">
        <f t="shared" si="15"/>
        <v>1</v>
      </c>
      <c r="CI86" s="20" t="str">
        <f>GovRev!A86</f>
        <v>Gallia-Vinton Educ Srv Ctr</v>
      </c>
      <c r="CJ86" s="20" t="b">
        <f t="shared" si="12"/>
        <v>1</v>
      </c>
      <c r="CL86" s="20" t="str">
        <f t="shared" si="16"/>
        <v>Gallia</v>
      </c>
      <c r="CM86" s="20" t="b">
        <f t="shared" si="17"/>
        <v>1</v>
      </c>
      <c r="CN86" s="20" t="b">
        <f t="shared" si="18"/>
        <v>1</v>
      </c>
      <c r="CP86" s="16" t="b">
        <f>C86=GovRev!C86</f>
        <v>1</v>
      </c>
    </row>
    <row r="87" spans="1:94" s="16" customFormat="1">
      <c r="A87" s="88" t="s">
        <v>384</v>
      </c>
      <c r="C87" s="16" t="s">
        <v>169</v>
      </c>
      <c r="E87" s="16">
        <v>47159</v>
      </c>
      <c r="G87" s="3">
        <v>158644</v>
      </c>
      <c r="H87" s="3"/>
      <c r="I87" s="3">
        <v>3194032</v>
      </c>
      <c r="J87" s="3"/>
      <c r="K87" s="3">
        <v>262354</v>
      </c>
      <c r="L87" s="3"/>
      <c r="M87" s="32">
        <v>3450</v>
      </c>
      <c r="N87" s="3"/>
      <c r="O87" s="3">
        <v>0</v>
      </c>
      <c r="P87" s="3"/>
      <c r="Q87" s="3">
        <v>3531924</v>
      </c>
      <c r="R87" s="3"/>
      <c r="S87" s="3">
        <v>2105858</v>
      </c>
      <c r="T87" s="3"/>
      <c r="U87" s="3">
        <v>26420</v>
      </c>
      <c r="V87" s="3"/>
      <c r="W87" s="3">
        <v>1303982</v>
      </c>
      <c r="X87" s="3"/>
      <c r="Y87" s="3">
        <v>258277</v>
      </c>
      <c r="Z87" s="3"/>
      <c r="AA87" s="3">
        <v>24038</v>
      </c>
      <c r="AB87" s="3"/>
      <c r="AC87" s="3">
        <v>91708</v>
      </c>
      <c r="AD87" s="3"/>
      <c r="AE87" s="88" t="s">
        <v>384</v>
      </c>
      <c r="AG87" s="16" t="s">
        <v>169</v>
      </c>
      <c r="AH87" s="3"/>
      <c r="AI87" s="3">
        <v>0</v>
      </c>
      <c r="AJ87" s="3"/>
      <c r="AK87" s="3">
        <v>198869</v>
      </c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v>0</v>
      </c>
      <c r="AV87" s="3"/>
      <c r="AW87" s="3">
        <v>0</v>
      </c>
      <c r="AX87" s="3"/>
      <c r="AY87" s="3">
        <v>0</v>
      </c>
      <c r="AZ87" s="3"/>
      <c r="BA87" s="3">
        <v>0</v>
      </c>
      <c r="BB87" s="3"/>
      <c r="BC87" s="3">
        <v>0</v>
      </c>
      <c r="BD87" s="3"/>
      <c r="BE87" s="17">
        <f t="shared" si="13"/>
        <v>11159556</v>
      </c>
      <c r="BF87" s="88" t="s">
        <v>384</v>
      </c>
      <c r="BH87" s="16" t="s">
        <v>169</v>
      </c>
      <c r="BI87" s="3"/>
      <c r="BJ87" s="3">
        <v>0</v>
      </c>
      <c r="BK87" s="3"/>
      <c r="BL87" s="3">
        <v>0</v>
      </c>
      <c r="BM87" s="3"/>
      <c r="BN87" s="3">
        <v>0</v>
      </c>
      <c r="BO87" s="3"/>
      <c r="BP87" s="3">
        <v>0</v>
      </c>
      <c r="BQ87" s="3"/>
      <c r="BR87" s="17">
        <f t="shared" si="10"/>
        <v>11159556</v>
      </c>
      <c r="BS87" s="3"/>
      <c r="BT87" s="17">
        <f>GovRev!AV87-BR87</f>
        <v>71115</v>
      </c>
      <c r="BU87" s="3"/>
      <c r="BV87" s="3">
        <v>1012813</v>
      </c>
      <c r="BW87" s="3"/>
      <c r="BX87" s="3">
        <v>0</v>
      </c>
      <c r="BY87" s="3"/>
      <c r="BZ87" s="17">
        <f t="shared" si="22"/>
        <v>1083928</v>
      </c>
      <c r="CA87" s="17"/>
      <c r="CB87" s="17">
        <f>-BZ87+GovBS!AE87</f>
        <v>0</v>
      </c>
      <c r="CE87" s="89"/>
      <c r="CF87" s="3" t="str">
        <f t="shared" si="19"/>
        <v>Geauga County Educ Srv Ctr</v>
      </c>
      <c r="CG87" s="3" t="b">
        <f t="shared" si="14"/>
        <v>1</v>
      </c>
      <c r="CH87" s="3" t="b">
        <f t="shared" si="15"/>
        <v>1</v>
      </c>
      <c r="CI87" s="20" t="str">
        <f>GovRev!A87</f>
        <v>Geauga County Educ Srv Ctr</v>
      </c>
      <c r="CJ87" s="20" t="b">
        <f t="shared" si="12"/>
        <v>1</v>
      </c>
      <c r="CL87" s="20" t="str">
        <f t="shared" si="16"/>
        <v>Geauga</v>
      </c>
      <c r="CM87" s="20" t="b">
        <f t="shared" si="17"/>
        <v>1</v>
      </c>
      <c r="CN87" s="20" t="b">
        <f t="shared" si="18"/>
        <v>1</v>
      </c>
      <c r="CP87" s="16" t="b">
        <f>C87=GovRev!C87</f>
        <v>1</v>
      </c>
    </row>
    <row r="88" spans="1:94" s="16" customFormat="1">
      <c r="A88" s="16" t="s">
        <v>328</v>
      </c>
      <c r="C88" s="16" t="s">
        <v>170</v>
      </c>
      <c r="E88" s="16">
        <v>47233</v>
      </c>
      <c r="G88" s="3">
        <v>755253</v>
      </c>
      <c r="H88" s="3"/>
      <c r="I88" s="3">
        <v>3407756</v>
      </c>
      <c r="J88" s="3"/>
      <c r="K88" s="3">
        <v>0</v>
      </c>
      <c r="L88" s="3"/>
      <c r="M88" s="32">
        <v>0</v>
      </c>
      <c r="N88" s="3"/>
      <c r="O88" s="3">
        <v>0</v>
      </c>
      <c r="P88" s="3"/>
      <c r="Q88" s="3">
        <v>6222437</v>
      </c>
      <c r="R88" s="3"/>
      <c r="S88" s="3">
        <v>2210083</v>
      </c>
      <c r="T88" s="3"/>
      <c r="U88" s="3">
        <v>25634</v>
      </c>
      <c r="V88" s="3"/>
      <c r="W88" s="3">
        <v>286476</v>
      </c>
      <c r="X88" s="3"/>
      <c r="Y88" s="3">
        <v>272987</v>
      </c>
      <c r="Z88" s="3"/>
      <c r="AA88" s="3">
        <v>46508</v>
      </c>
      <c r="AB88" s="3"/>
      <c r="AC88" s="3">
        <v>197025</v>
      </c>
      <c r="AD88" s="3"/>
      <c r="AE88" s="16" t="s">
        <v>328</v>
      </c>
      <c r="AG88" s="16" t="s">
        <v>170</v>
      </c>
      <c r="AH88" s="3"/>
      <c r="AI88" s="3">
        <v>0</v>
      </c>
      <c r="AJ88" s="3"/>
      <c r="AK88" s="3">
        <v>13145</v>
      </c>
      <c r="AL88" s="3"/>
      <c r="AM88" s="3">
        <v>0</v>
      </c>
      <c r="AN88" s="3"/>
      <c r="AO88" s="3">
        <v>0</v>
      </c>
      <c r="AP88" s="3"/>
      <c r="AQ88" s="3">
        <v>4155</v>
      </c>
      <c r="AR88" s="3"/>
      <c r="AS88" s="3">
        <v>0</v>
      </c>
      <c r="AT88" s="3"/>
      <c r="AU88" s="3">
        <v>12517</v>
      </c>
      <c r="AV88" s="3"/>
      <c r="AW88" s="3">
        <v>226876</v>
      </c>
      <c r="AX88" s="3"/>
      <c r="AY88" s="3">
        <v>58742</v>
      </c>
      <c r="AZ88" s="3"/>
      <c r="BA88" s="3">
        <v>4985</v>
      </c>
      <c r="BB88" s="3"/>
      <c r="BC88" s="3">
        <v>0</v>
      </c>
      <c r="BD88" s="3"/>
      <c r="BE88" s="17">
        <f t="shared" si="13"/>
        <v>13744579</v>
      </c>
      <c r="BF88" s="16" t="s">
        <v>328</v>
      </c>
      <c r="BH88" s="16" t="s">
        <v>170</v>
      </c>
      <c r="BI88" s="3"/>
      <c r="BJ88" s="3">
        <v>0</v>
      </c>
      <c r="BK88" s="3"/>
      <c r="BL88" s="3">
        <v>0</v>
      </c>
      <c r="BM88" s="3"/>
      <c r="BN88" s="3">
        <v>0</v>
      </c>
      <c r="BO88" s="3"/>
      <c r="BP88" s="3">
        <v>0</v>
      </c>
      <c r="BQ88" s="3"/>
      <c r="BR88" s="17">
        <f t="shared" si="10"/>
        <v>13744579</v>
      </c>
      <c r="BS88" s="3"/>
      <c r="BT88" s="17">
        <f>GovRev!AV88-BR88</f>
        <v>35325</v>
      </c>
      <c r="BU88" s="3"/>
      <c r="BV88" s="3">
        <v>1791225</v>
      </c>
      <c r="BW88" s="3"/>
      <c r="BX88" s="3">
        <v>0</v>
      </c>
      <c r="BY88" s="3"/>
      <c r="BZ88" s="17">
        <f t="shared" si="22"/>
        <v>1826550</v>
      </c>
      <c r="CA88" s="17"/>
      <c r="CB88" s="17">
        <f>-BZ88+GovBS!AE88</f>
        <v>0</v>
      </c>
      <c r="CE88" s="3"/>
      <c r="CF88" s="3" t="str">
        <f t="shared" si="19"/>
        <v>Greene County Educ Srv Ctr</v>
      </c>
      <c r="CG88" s="3" t="b">
        <f t="shared" si="14"/>
        <v>1</v>
      </c>
      <c r="CH88" s="3" t="b">
        <f t="shared" si="15"/>
        <v>1</v>
      </c>
      <c r="CI88" s="20" t="str">
        <f>GovRev!A88</f>
        <v>Greene County Educ Srv Ctr</v>
      </c>
      <c r="CJ88" s="20" t="b">
        <f t="shared" si="12"/>
        <v>1</v>
      </c>
      <c r="CL88" s="20" t="str">
        <f t="shared" si="16"/>
        <v>Greene</v>
      </c>
      <c r="CM88" s="20" t="b">
        <f t="shared" si="17"/>
        <v>1</v>
      </c>
      <c r="CN88" s="20" t="b">
        <f t="shared" si="18"/>
        <v>1</v>
      </c>
      <c r="CP88" s="16" t="b">
        <f>C88=GovRev!C88</f>
        <v>1</v>
      </c>
    </row>
    <row r="89" spans="1:94" s="16" customFormat="1">
      <c r="A89" s="16" t="s">
        <v>329</v>
      </c>
      <c r="C89" s="16" t="s">
        <v>171</v>
      </c>
      <c r="E89" s="16">
        <v>47324</v>
      </c>
      <c r="G89" s="3">
        <v>0</v>
      </c>
      <c r="H89" s="3"/>
      <c r="I89" s="3">
        <v>8007180</v>
      </c>
      <c r="J89" s="3"/>
      <c r="K89" s="3">
        <v>68828</v>
      </c>
      <c r="L89" s="3"/>
      <c r="M89" s="32">
        <v>0</v>
      </c>
      <c r="N89" s="3"/>
      <c r="O89" s="3">
        <v>0</v>
      </c>
      <c r="P89" s="3"/>
      <c r="Q89" s="3">
        <v>7707133</v>
      </c>
      <c r="R89" s="3"/>
      <c r="S89" s="3">
        <v>7663672</v>
      </c>
      <c r="T89" s="3"/>
      <c r="U89" s="3">
        <v>39453</v>
      </c>
      <c r="V89" s="3"/>
      <c r="W89" s="3">
        <v>4325744</v>
      </c>
      <c r="X89" s="3"/>
      <c r="Y89" s="3">
        <v>925373</v>
      </c>
      <c r="Z89" s="3"/>
      <c r="AA89" s="3">
        <v>409218</v>
      </c>
      <c r="AB89" s="3"/>
      <c r="AC89" s="3">
        <v>492596</v>
      </c>
      <c r="AD89" s="3"/>
      <c r="AE89" s="16" t="s">
        <v>329</v>
      </c>
      <c r="AG89" s="16" t="s">
        <v>171</v>
      </c>
      <c r="AH89" s="3"/>
      <c r="AI89" s="3">
        <v>0</v>
      </c>
      <c r="AJ89" s="3"/>
      <c r="AK89" s="3">
        <v>702505</v>
      </c>
      <c r="AL89" s="3"/>
      <c r="AM89" s="3">
        <v>0</v>
      </c>
      <c r="AN89" s="3"/>
      <c r="AO89" s="3">
        <v>0</v>
      </c>
      <c r="AP89" s="3"/>
      <c r="AQ89" s="3">
        <v>11247211</v>
      </c>
      <c r="AR89" s="3"/>
      <c r="AS89" s="3">
        <v>0</v>
      </c>
      <c r="AT89" s="3"/>
      <c r="AU89" s="3">
        <v>0</v>
      </c>
      <c r="AV89" s="3"/>
      <c r="AW89" s="3">
        <v>0</v>
      </c>
      <c r="AX89" s="3"/>
      <c r="AY89" s="3">
        <v>43000</v>
      </c>
      <c r="AZ89" s="3"/>
      <c r="BA89" s="3">
        <v>105963</v>
      </c>
      <c r="BB89" s="3"/>
      <c r="BC89" s="3">
        <v>0</v>
      </c>
      <c r="BD89" s="3"/>
      <c r="BE89" s="17">
        <f t="shared" si="13"/>
        <v>41737876</v>
      </c>
      <c r="BF89" s="16" t="s">
        <v>329</v>
      </c>
      <c r="BH89" s="16" t="s">
        <v>171</v>
      </c>
      <c r="BI89" s="3"/>
      <c r="BJ89" s="3">
        <v>300000</v>
      </c>
      <c r="BK89" s="3"/>
      <c r="BL89" s="3">
        <v>0</v>
      </c>
      <c r="BM89" s="3"/>
      <c r="BN89" s="3">
        <v>0</v>
      </c>
      <c r="BO89" s="3"/>
      <c r="BP89" s="3">
        <v>0</v>
      </c>
      <c r="BQ89" s="3"/>
      <c r="BR89" s="17">
        <f t="shared" si="10"/>
        <v>42037876</v>
      </c>
      <c r="BS89" s="3"/>
      <c r="BT89" s="17">
        <f>GovRev!AV89-BR89</f>
        <v>-629669</v>
      </c>
      <c r="BU89" s="3"/>
      <c r="BV89" s="3">
        <v>8979197</v>
      </c>
      <c r="BW89" s="3"/>
      <c r="BX89" s="3">
        <v>0</v>
      </c>
      <c r="BY89" s="3"/>
      <c r="BZ89" s="17">
        <f t="shared" si="22"/>
        <v>8349528</v>
      </c>
      <c r="CA89" s="17"/>
      <c r="CB89" s="17">
        <f>-BZ89+GovBS!AE89</f>
        <v>0</v>
      </c>
      <c r="CE89" s="3"/>
      <c r="CF89" s="3" t="str">
        <f t="shared" si="19"/>
        <v>Hamilton County Educ Srv Ctr</v>
      </c>
      <c r="CG89" s="3" t="b">
        <f t="shared" si="14"/>
        <v>1</v>
      </c>
      <c r="CH89" s="3" t="b">
        <f t="shared" si="15"/>
        <v>1</v>
      </c>
      <c r="CI89" s="20" t="str">
        <f>GovRev!A89</f>
        <v>Hamilton County Educ Srv Ctr</v>
      </c>
      <c r="CJ89" s="20" t="b">
        <f t="shared" si="12"/>
        <v>1</v>
      </c>
      <c r="CL89" s="20" t="str">
        <f t="shared" si="16"/>
        <v>Hamilton</v>
      </c>
      <c r="CM89" s="20" t="b">
        <f t="shared" si="17"/>
        <v>1</v>
      </c>
      <c r="CN89" s="20" t="b">
        <f t="shared" si="18"/>
        <v>1</v>
      </c>
      <c r="CP89" s="16" t="b">
        <f>C89=GovRev!C89</f>
        <v>1</v>
      </c>
    </row>
    <row r="90" spans="1:94" s="16" customFormat="1">
      <c r="A90" s="16" t="s">
        <v>330</v>
      </c>
      <c r="C90" s="16" t="s">
        <v>172</v>
      </c>
      <c r="E90" s="16">
        <v>47407</v>
      </c>
      <c r="G90" s="3">
        <v>109908</v>
      </c>
      <c r="H90" s="3"/>
      <c r="I90" s="3">
        <v>1287421</v>
      </c>
      <c r="J90" s="3"/>
      <c r="K90" s="3">
        <v>0</v>
      </c>
      <c r="L90" s="3"/>
      <c r="M90" s="32">
        <v>0</v>
      </c>
      <c r="N90" s="3"/>
      <c r="O90" s="3">
        <v>0</v>
      </c>
      <c r="P90" s="3"/>
      <c r="Q90" s="3">
        <v>1131496</v>
      </c>
      <c r="R90" s="3"/>
      <c r="S90" s="3">
        <v>1710337</v>
      </c>
      <c r="T90" s="3"/>
      <c r="U90" s="3">
        <v>42012</v>
      </c>
      <c r="V90" s="3"/>
      <c r="W90" s="3">
        <v>642346</v>
      </c>
      <c r="X90" s="3"/>
      <c r="Y90" s="3">
        <v>239946</v>
      </c>
      <c r="Z90" s="3"/>
      <c r="AA90" s="3">
        <v>0</v>
      </c>
      <c r="AB90" s="3"/>
      <c r="AC90" s="3">
        <v>52117</v>
      </c>
      <c r="AD90" s="3"/>
      <c r="AE90" s="16" t="s">
        <v>330</v>
      </c>
      <c r="AG90" s="16" t="s">
        <v>172</v>
      </c>
      <c r="AH90" s="3"/>
      <c r="AI90" s="3">
        <v>90885</v>
      </c>
      <c r="AJ90" s="3"/>
      <c r="AK90" s="3">
        <v>14509</v>
      </c>
      <c r="AL90" s="3"/>
      <c r="AM90" s="3">
        <v>0</v>
      </c>
      <c r="AN90" s="3"/>
      <c r="AO90" s="3">
        <v>0</v>
      </c>
      <c r="AP90" s="3"/>
      <c r="AQ90" s="3">
        <v>4650</v>
      </c>
      <c r="AR90" s="3"/>
      <c r="AS90" s="3">
        <v>1125</v>
      </c>
      <c r="AT90" s="3"/>
      <c r="AU90" s="3">
        <v>0</v>
      </c>
      <c r="AV90" s="3"/>
      <c r="AW90" s="3">
        <v>0</v>
      </c>
      <c r="AX90" s="3"/>
      <c r="AY90" s="3">
        <v>0</v>
      </c>
      <c r="AZ90" s="3"/>
      <c r="BA90" s="3">
        <v>0</v>
      </c>
      <c r="BB90" s="3"/>
      <c r="BC90" s="3">
        <v>0</v>
      </c>
      <c r="BD90" s="3"/>
      <c r="BE90" s="17">
        <f t="shared" si="13"/>
        <v>5326752</v>
      </c>
      <c r="BF90" s="16" t="s">
        <v>330</v>
      </c>
      <c r="BH90" s="16" t="s">
        <v>172</v>
      </c>
      <c r="BI90" s="3"/>
      <c r="BJ90" s="3">
        <v>0</v>
      </c>
      <c r="BK90" s="3"/>
      <c r="BL90" s="3">
        <v>0</v>
      </c>
      <c r="BM90" s="3"/>
      <c r="BN90" s="3">
        <v>0</v>
      </c>
      <c r="BO90" s="3"/>
      <c r="BP90" s="3">
        <v>0</v>
      </c>
      <c r="BQ90" s="3"/>
      <c r="BR90" s="17">
        <f t="shared" si="10"/>
        <v>5326752</v>
      </c>
      <c r="BS90" s="3"/>
      <c r="BT90" s="17">
        <f>GovRev!AV90-BR90</f>
        <v>34639</v>
      </c>
      <c r="BU90" s="3"/>
      <c r="BV90" s="3">
        <v>318979</v>
      </c>
      <c r="BW90" s="3"/>
      <c r="BX90" s="3">
        <v>0</v>
      </c>
      <c r="BY90" s="3"/>
      <c r="BZ90" s="17">
        <f t="shared" si="22"/>
        <v>353618</v>
      </c>
      <c r="CA90" s="17"/>
      <c r="CB90" s="17">
        <f>-BZ90+GovBS!AE90</f>
        <v>0</v>
      </c>
      <c r="CE90" s="3"/>
      <c r="CF90" s="3" t="str">
        <f t="shared" si="19"/>
        <v>Hancock County Educ Srv Ctr</v>
      </c>
      <c r="CG90" s="3" t="b">
        <f t="shared" si="14"/>
        <v>1</v>
      </c>
      <c r="CH90" s="3" t="b">
        <f t="shared" si="15"/>
        <v>1</v>
      </c>
      <c r="CI90" s="20" t="str">
        <f>GovRev!A90</f>
        <v>Hancock County Educ Srv Ctr</v>
      </c>
      <c r="CJ90" s="20" t="b">
        <f t="shared" si="12"/>
        <v>1</v>
      </c>
      <c r="CL90" s="20" t="str">
        <f t="shared" si="16"/>
        <v>Hancock</v>
      </c>
      <c r="CM90" s="20" t="b">
        <f t="shared" si="17"/>
        <v>1</v>
      </c>
      <c r="CN90" s="20" t="b">
        <f t="shared" si="18"/>
        <v>1</v>
      </c>
      <c r="CP90" s="16" t="b">
        <f>C90=GovRev!C90</f>
        <v>1</v>
      </c>
    </row>
    <row r="91" spans="1:94" s="16" customFormat="1">
      <c r="A91" s="16" t="s">
        <v>331</v>
      </c>
      <c r="C91" s="16" t="s">
        <v>21</v>
      </c>
      <c r="E91" s="16">
        <v>47480</v>
      </c>
      <c r="G91" s="3">
        <v>102934</v>
      </c>
      <c r="H91" s="3"/>
      <c r="I91" s="3">
        <v>635219</v>
      </c>
      <c r="J91" s="3"/>
      <c r="K91" s="3">
        <v>0</v>
      </c>
      <c r="L91" s="3"/>
      <c r="M91" s="32">
        <v>0</v>
      </c>
      <c r="N91" s="3"/>
      <c r="O91" s="3">
        <v>0</v>
      </c>
      <c r="P91" s="3"/>
      <c r="Q91" s="3">
        <v>1058150</v>
      </c>
      <c r="R91" s="3"/>
      <c r="S91" s="3">
        <v>122962</v>
      </c>
      <c r="T91" s="3"/>
      <c r="U91" s="3">
        <v>14548</v>
      </c>
      <c r="V91" s="3"/>
      <c r="W91" s="3">
        <v>225884</v>
      </c>
      <c r="X91" s="3"/>
      <c r="Y91" s="3">
        <v>169374</v>
      </c>
      <c r="Z91" s="3"/>
      <c r="AA91" s="3">
        <v>0</v>
      </c>
      <c r="AB91" s="3"/>
      <c r="AC91" s="3">
        <v>12513</v>
      </c>
      <c r="AD91" s="3"/>
      <c r="AE91" s="16" t="s">
        <v>331</v>
      </c>
      <c r="AG91" s="16" t="s">
        <v>21</v>
      </c>
      <c r="AH91" s="3"/>
      <c r="AI91" s="3">
        <v>9475</v>
      </c>
      <c r="AJ91" s="3"/>
      <c r="AK91" s="3">
        <v>109263</v>
      </c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v>1595</v>
      </c>
      <c r="AT91" s="3"/>
      <c r="AU91" s="3">
        <v>0</v>
      </c>
      <c r="AV91" s="3"/>
      <c r="AW91" s="3">
        <v>578279</v>
      </c>
      <c r="AX91" s="3"/>
      <c r="AY91" s="3">
        <v>0</v>
      </c>
      <c r="AZ91" s="3"/>
      <c r="BA91" s="3">
        <v>0</v>
      </c>
      <c r="BB91" s="3"/>
      <c r="BC91" s="3">
        <v>0</v>
      </c>
      <c r="BD91" s="3"/>
      <c r="BE91" s="17">
        <f t="shared" si="13"/>
        <v>3040196</v>
      </c>
      <c r="BF91" s="16" t="s">
        <v>331</v>
      </c>
      <c r="BH91" s="16" t="s">
        <v>21</v>
      </c>
      <c r="BI91" s="3"/>
      <c r="BJ91" s="3">
        <v>0</v>
      </c>
      <c r="BK91" s="3"/>
      <c r="BL91" s="3">
        <v>0</v>
      </c>
      <c r="BM91" s="3"/>
      <c r="BN91" s="3">
        <v>0</v>
      </c>
      <c r="BO91" s="3"/>
      <c r="BP91" s="3">
        <v>0</v>
      </c>
      <c r="BQ91" s="3"/>
      <c r="BR91" s="17">
        <f t="shared" si="10"/>
        <v>3040196</v>
      </c>
      <c r="BS91" s="3"/>
      <c r="BT91" s="17">
        <f>GovRev!AV91-BR91</f>
        <v>-399396</v>
      </c>
      <c r="BU91" s="3"/>
      <c r="BV91" s="3">
        <v>994103</v>
      </c>
      <c r="BW91" s="3"/>
      <c r="BX91" s="3">
        <v>0</v>
      </c>
      <c r="BY91" s="3"/>
      <c r="BZ91" s="17">
        <f t="shared" si="22"/>
        <v>594707</v>
      </c>
      <c r="CA91" s="17"/>
      <c r="CB91" s="17">
        <f>-BZ91+GovBS!AE91</f>
        <v>0</v>
      </c>
      <c r="CE91" s="3"/>
      <c r="CF91" s="3" t="str">
        <f t="shared" si="19"/>
        <v>Hardin County Educ Srv Ctr</v>
      </c>
      <c r="CG91" s="3" t="b">
        <f t="shared" si="14"/>
        <v>1</v>
      </c>
      <c r="CH91" s="3" t="b">
        <f t="shared" si="15"/>
        <v>1</v>
      </c>
      <c r="CI91" s="20" t="str">
        <f>GovRev!A91</f>
        <v>Hardin County Educ Srv Ctr</v>
      </c>
      <c r="CJ91" s="20" t="b">
        <f t="shared" si="12"/>
        <v>1</v>
      </c>
      <c r="CL91" s="20" t="str">
        <f t="shared" si="16"/>
        <v>Hardin</v>
      </c>
      <c r="CM91" s="20" t="b">
        <f t="shared" si="17"/>
        <v>1</v>
      </c>
      <c r="CN91" s="20" t="b">
        <f t="shared" si="18"/>
        <v>1</v>
      </c>
      <c r="CP91" s="16" t="b">
        <f>C91=GovRev!C91</f>
        <v>1</v>
      </c>
    </row>
    <row r="92" spans="1:94" s="16" customFormat="1">
      <c r="A92" s="16" t="s">
        <v>332</v>
      </c>
      <c r="C92" s="16" t="s">
        <v>173</v>
      </c>
      <c r="E92" s="16">
        <v>47779</v>
      </c>
      <c r="G92" s="3">
        <v>1366985</v>
      </c>
      <c r="H92" s="3"/>
      <c r="I92" s="3">
        <v>612856</v>
      </c>
      <c r="J92" s="3"/>
      <c r="K92" s="3">
        <v>0</v>
      </c>
      <c r="L92" s="3"/>
      <c r="M92" s="32">
        <v>0</v>
      </c>
      <c r="N92" s="3"/>
      <c r="O92" s="3">
        <v>6400</v>
      </c>
      <c r="P92" s="3"/>
      <c r="Q92" s="3">
        <v>1323588</v>
      </c>
      <c r="R92" s="3"/>
      <c r="S92" s="3">
        <v>2051475</v>
      </c>
      <c r="T92" s="3"/>
      <c r="U92" s="3">
        <v>16270</v>
      </c>
      <c r="V92" s="3"/>
      <c r="W92" s="3">
        <v>1119700</v>
      </c>
      <c r="X92" s="3"/>
      <c r="Y92" s="3">
        <v>264640</v>
      </c>
      <c r="Z92" s="3"/>
      <c r="AA92" s="3">
        <v>0</v>
      </c>
      <c r="AB92" s="3"/>
      <c r="AC92" s="3">
        <v>19594</v>
      </c>
      <c r="AD92" s="3"/>
      <c r="AE92" s="16" t="s">
        <v>332</v>
      </c>
      <c r="AG92" s="16" t="s">
        <v>173</v>
      </c>
      <c r="AH92" s="3"/>
      <c r="AI92" s="3">
        <v>0</v>
      </c>
      <c r="AJ92" s="3"/>
      <c r="AK92" s="3">
        <v>97600</v>
      </c>
      <c r="AL92" s="3"/>
      <c r="AM92" s="3">
        <v>0</v>
      </c>
      <c r="AN92" s="3"/>
      <c r="AO92" s="3">
        <v>0</v>
      </c>
      <c r="AP92" s="3"/>
      <c r="AQ92" s="3">
        <v>0</v>
      </c>
      <c r="AR92" s="3"/>
      <c r="AS92" s="3">
        <v>0</v>
      </c>
      <c r="AT92" s="3"/>
      <c r="AU92" s="3">
        <v>0</v>
      </c>
      <c r="AV92" s="3"/>
      <c r="AW92" s="3">
        <v>0</v>
      </c>
      <c r="AX92" s="3"/>
      <c r="AY92" s="3">
        <v>3373</v>
      </c>
      <c r="AZ92" s="3"/>
      <c r="BA92" s="3">
        <v>858</v>
      </c>
      <c r="BB92" s="3"/>
      <c r="BC92" s="3">
        <v>0</v>
      </c>
      <c r="BD92" s="3"/>
      <c r="BE92" s="17">
        <f t="shared" si="13"/>
        <v>6883339</v>
      </c>
      <c r="BF92" s="16" t="s">
        <v>332</v>
      </c>
      <c r="BH92" s="16" t="s">
        <v>173</v>
      </c>
      <c r="BI92" s="3"/>
      <c r="BJ92" s="3">
        <v>51749</v>
      </c>
      <c r="BK92" s="3"/>
      <c r="BL92" s="3">
        <v>0</v>
      </c>
      <c r="BM92" s="3"/>
      <c r="BN92" s="3">
        <v>0</v>
      </c>
      <c r="BO92" s="3"/>
      <c r="BP92" s="3">
        <v>0</v>
      </c>
      <c r="BQ92" s="3"/>
      <c r="BR92" s="17">
        <f t="shared" si="10"/>
        <v>6935088</v>
      </c>
      <c r="BS92" s="3"/>
      <c r="BT92" s="17">
        <f>GovRev!AV92-BR92</f>
        <v>-148455</v>
      </c>
      <c r="BU92" s="3"/>
      <c r="BV92" s="3">
        <v>3172591</v>
      </c>
      <c r="BW92" s="3"/>
      <c r="BX92" s="3">
        <v>0</v>
      </c>
      <c r="BY92" s="3"/>
      <c r="BZ92" s="17">
        <f t="shared" si="22"/>
        <v>3024136</v>
      </c>
      <c r="CA92" s="17"/>
      <c r="CB92" s="17">
        <f>-BZ92+GovBS!AE92</f>
        <v>0</v>
      </c>
      <c r="CE92" s="3"/>
      <c r="CF92" s="3" t="str">
        <f t="shared" si="19"/>
        <v>Jefferson County Educ Srv Ctr</v>
      </c>
      <c r="CG92" s="3" t="b">
        <f t="shared" si="14"/>
        <v>1</v>
      </c>
      <c r="CH92" s="3" t="b">
        <f t="shared" si="15"/>
        <v>1</v>
      </c>
      <c r="CI92" s="20" t="str">
        <f>GovRev!A92</f>
        <v>Jefferson County Educ Srv Ctr</v>
      </c>
      <c r="CJ92" s="20" t="b">
        <f t="shared" si="12"/>
        <v>1</v>
      </c>
      <c r="CL92" s="20" t="str">
        <f t="shared" si="16"/>
        <v>Jefferson</v>
      </c>
      <c r="CM92" s="20" t="b">
        <f t="shared" si="17"/>
        <v>1</v>
      </c>
      <c r="CN92" s="20" t="b">
        <f t="shared" si="18"/>
        <v>1</v>
      </c>
      <c r="CP92" s="16" t="b">
        <f>C92=GovRev!C92</f>
        <v>1</v>
      </c>
    </row>
    <row r="93" spans="1:94" s="16" customFormat="1">
      <c r="A93" s="16" t="s">
        <v>333</v>
      </c>
      <c r="C93" s="16" t="s">
        <v>174</v>
      </c>
      <c r="E93" s="16">
        <v>47811</v>
      </c>
      <c r="G93" s="3">
        <v>135054</v>
      </c>
      <c r="H93" s="3"/>
      <c r="I93" s="3">
        <v>3599792</v>
      </c>
      <c r="J93" s="3"/>
      <c r="K93" s="3">
        <v>0</v>
      </c>
      <c r="L93" s="3"/>
      <c r="M93" s="32">
        <v>0</v>
      </c>
      <c r="N93" s="3"/>
      <c r="O93" s="3">
        <v>0</v>
      </c>
      <c r="P93" s="3"/>
      <c r="Q93" s="3">
        <v>579868</v>
      </c>
      <c r="R93" s="3"/>
      <c r="S93" s="3">
        <v>992144</v>
      </c>
      <c r="T93" s="3"/>
      <c r="U93" s="3">
        <v>25859</v>
      </c>
      <c r="V93" s="3"/>
      <c r="W93" s="3">
        <v>729308</v>
      </c>
      <c r="X93" s="3"/>
      <c r="Y93" s="3">
        <v>101374</v>
      </c>
      <c r="Z93" s="3"/>
      <c r="AA93" s="3">
        <v>0</v>
      </c>
      <c r="AB93" s="3"/>
      <c r="AC93" s="3">
        <v>81396</v>
      </c>
      <c r="AD93" s="3"/>
      <c r="AE93" s="16" t="s">
        <v>333</v>
      </c>
      <c r="AG93" s="16" t="s">
        <v>174</v>
      </c>
      <c r="AH93" s="3"/>
      <c r="AI93" s="3">
        <v>0</v>
      </c>
      <c r="AJ93" s="3"/>
      <c r="AK93" s="3">
        <v>2115</v>
      </c>
      <c r="AL93" s="3"/>
      <c r="AM93" s="3">
        <v>0</v>
      </c>
      <c r="AN93" s="3"/>
      <c r="AO93" s="3">
        <v>0</v>
      </c>
      <c r="AP93" s="3"/>
      <c r="AQ93" s="3">
        <v>0</v>
      </c>
      <c r="AR93" s="3"/>
      <c r="AS93" s="3">
        <v>9824</v>
      </c>
      <c r="AT93" s="3"/>
      <c r="AU93" s="3">
        <v>0</v>
      </c>
      <c r="AV93" s="3"/>
      <c r="AW93" s="3">
        <v>0</v>
      </c>
      <c r="AX93" s="3"/>
      <c r="AY93" s="3">
        <v>0</v>
      </c>
      <c r="AZ93" s="3"/>
      <c r="BA93" s="3">
        <v>0</v>
      </c>
      <c r="BB93" s="3"/>
      <c r="BC93" s="3">
        <v>0</v>
      </c>
      <c r="BD93" s="3"/>
      <c r="BE93" s="17">
        <f t="shared" si="13"/>
        <v>6256734</v>
      </c>
      <c r="BF93" s="16" t="s">
        <v>333</v>
      </c>
      <c r="BH93" s="16" t="s">
        <v>174</v>
      </c>
      <c r="BI93" s="3"/>
      <c r="BJ93" s="3">
        <v>0</v>
      </c>
      <c r="BK93" s="3"/>
      <c r="BL93" s="3">
        <v>0</v>
      </c>
      <c r="BM93" s="3"/>
      <c r="BN93" s="3">
        <v>0</v>
      </c>
      <c r="BO93" s="3"/>
      <c r="BP93" s="3">
        <v>0</v>
      </c>
      <c r="BQ93" s="3"/>
      <c r="BR93" s="17">
        <f t="shared" si="10"/>
        <v>6256734</v>
      </c>
      <c r="BS93" s="3"/>
      <c r="BT93" s="17">
        <f>GovRev!AV93-BR93</f>
        <v>-155447</v>
      </c>
      <c r="BU93" s="3"/>
      <c r="BV93" s="3">
        <v>45091</v>
      </c>
      <c r="BW93" s="3"/>
      <c r="BX93" s="3">
        <v>0</v>
      </c>
      <c r="BY93" s="3"/>
      <c r="BZ93" s="17">
        <f t="shared" si="22"/>
        <v>-110356</v>
      </c>
      <c r="CA93" s="17"/>
      <c r="CB93" s="17">
        <f>-BZ93+GovBS!AE93</f>
        <v>0</v>
      </c>
      <c r="CE93" s="3"/>
      <c r="CF93" s="3" t="str">
        <f t="shared" si="19"/>
        <v>Knox County Educ Srv Ctr</v>
      </c>
      <c r="CG93" s="3" t="b">
        <f t="shared" si="14"/>
        <v>1</v>
      </c>
      <c r="CH93" s="3" t="b">
        <f t="shared" si="15"/>
        <v>1</v>
      </c>
      <c r="CI93" s="20" t="str">
        <f>GovRev!A93</f>
        <v>Knox County Educ Srv Ctr</v>
      </c>
      <c r="CJ93" s="20" t="b">
        <f t="shared" si="12"/>
        <v>1</v>
      </c>
      <c r="CL93" s="20" t="str">
        <f t="shared" si="16"/>
        <v>Knox</v>
      </c>
      <c r="CM93" s="20" t="b">
        <f t="shared" si="17"/>
        <v>1</v>
      </c>
      <c r="CN93" s="20" t="b">
        <f t="shared" si="18"/>
        <v>1</v>
      </c>
      <c r="CP93" s="16" t="b">
        <f>C93=GovRev!C93</f>
        <v>1</v>
      </c>
    </row>
    <row r="94" spans="1:94" s="16" customFormat="1">
      <c r="A94" s="16" t="s">
        <v>334</v>
      </c>
      <c r="C94" s="16" t="s">
        <v>149</v>
      </c>
      <c r="E94" s="16">
        <v>47860</v>
      </c>
      <c r="G94" s="3">
        <v>404923</v>
      </c>
      <c r="H94" s="3"/>
      <c r="I94" s="3">
        <v>2727180</v>
      </c>
      <c r="J94" s="3"/>
      <c r="K94" s="3">
        <v>452357</v>
      </c>
      <c r="L94" s="3"/>
      <c r="M94" s="32">
        <v>0</v>
      </c>
      <c r="N94" s="3"/>
      <c r="O94" s="3">
        <v>120270</v>
      </c>
      <c r="P94" s="3"/>
      <c r="Q94" s="3">
        <v>3116810</v>
      </c>
      <c r="R94" s="3"/>
      <c r="S94" s="3">
        <v>2293616</v>
      </c>
      <c r="T94" s="3"/>
      <c r="U94" s="3">
        <v>7284553</v>
      </c>
      <c r="V94" s="3"/>
      <c r="W94" s="3">
        <v>1799812</v>
      </c>
      <c r="X94" s="3"/>
      <c r="Y94" s="3">
        <v>277821</v>
      </c>
      <c r="Z94" s="3"/>
      <c r="AA94" s="3">
        <v>0</v>
      </c>
      <c r="AB94" s="3"/>
      <c r="AC94" s="3">
        <v>117899</v>
      </c>
      <c r="AD94" s="3"/>
      <c r="AE94" s="16" t="s">
        <v>334</v>
      </c>
      <c r="AG94" s="16" t="s">
        <v>149</v>
      </c>
      <c r="AH94" s="3"/>
      <c r="AI94" s="3">
        <v>188101</v>
      </c>
      <c r="AJ94" s="3"/>
      <c r="AK94" s="3">
        <v>778489</v>
      </c>
      <c r="AL94" s="3"/>
      <c r="AM94" s="3">
        <v>0</v>
      </c>
      <c r="AN94" s="3"/>
      <c r="AO94" s="3">
        <v>0</v>
      </c>
      <c r="AP94" s="3"/>
      <c r="AQ94" s="3">
        <v>37863</v>
      </c>
      <c r="AR94" s="3"/>
      <c r="AS94" s="3">
        <v>0</v>
      </c>
      <c r="AT94" s="3"/>
      <c r="AU94" s="3">
        <v>0</v>
      </c>
      <c r="AV94" s="3"/>
      <c r="AW94" s="3">
        <v>0</v>
      </c>
      <c r="AX94" s="3"/>
      <c r="AY94" s="3">
        <v>0</v>
      </c>
      <c r="AZ94" s="3"/>
      <c r="BA94" s="3">
        <v>0</v>
      </c>
      <c r="BB94" s="3"/>
      <c r="BC94" s="3">
        <v>0</v>
      </c>
      <c r="BD94" s="3"/>
      <c r="BE94" s="17">
        <f t="shared" si="13"/>
        <v>19599694</v>
      </c>
      <c r="BF94" s="16" t="s">
        <v>334</v>
      </c>
      <c r="BH94" s="16" t="s">
        <v>149</v>
      </c>
      <c r="BI94" s="3"/>
      <c r="BJ94" s="3">
        <v>1529</v>
      </c>
      <c r="BK94" s="3"/>
      <c r="BL94" s="3">
        <v>0</v>
      </c>
      <c r="BM94" s="3"/>
      <c r="BN94" s="3">
        <v>0</v>
      </c>
      <c r="BO94" s="3"/>
      <c r="BP94" s="3">
        <v>0</v>
      </c>
      <c r="BQ94" s="3"/>
      <c r="BR94" s="17">
        <f t="shared" si="10"/>
        <v>19601223</v>
      </c>
      <c r="BS94" s="3"/>
      <c r="BT94" s="17">
        <f>GovRev!AV94-BR94</f>
        <v>-237619</v>
      </c>
      <c r="BU94" s="3"/>
      <c r="BV94" s="3">
        <v>1346494</v>
      </c>
      <c r="BW94" s="3"/>
      <c r="BX94" s="3">
        <v>0</v>
      </c>
      <c r="BY94" s="3"/>
      <c r="BZ94" s="17">
        <f t="shared" si="22"/>
        <v>1108875</v>
      </c>
      <c r="CA94" s="17"/>
      <c r="CB94" s="17">
        <f>-BZ94+GovBS!AE94</f>
        <v>0</v>
      </c>
      <c r="CE94" s="16" t="s">
        <v>387</v>
      </c>
      <c r="CF94" s="3" t="str">
        <f t="shared" si="19"/>
        <v>Lake County Educ Srv Ctr</v>
      </c>
      <c r="CG94" s="3" t="b">
        <f t="shared" si="14"/>
        <v>1</v>
      </c>
      <c r="CH94" s="3" t="b">
        <f t="shared" si="15"/>
        <v>1</v>
      </c>
      <c r="CI94" s="20" t="str">
        <f>GovRev!A94</f>
        <v>Lake County Educ Srv Ctr</v>
      </c>
      <c r="CJ94" s="20" t="b">
        <f t="shared" si="12"/>
        <v>1</v>
      </c>
      <c r="CL94" s="20" t="str">
        <f t="shared" si="16"/>
        <v>Lake</v>
      </c>
      <c r="CM94" s="20" t="b">
        <f t="shared" si="17"/>
        <v>1</v>
      </c>
      <c r="CN94" s="20" t="b">
        <f t="shared" si="18"/>
        <v>1</v>
      </c>
      <c r="CP94" s="16" t="b">
        <f>C94=GovRev!C94</f>
        <v>1</v>
      </c>
    </row>
    <row r="95" spans="1:94" s="16" customFormat="1">
      <c r="A95" s="16" t="s">
        <v>335</v>
      </c>
      <c r="C95" s="16" t="s">
        <v>175</v>
      </c>
      <c r="E95" s="16">
        <v>47910</v>
      </c>
      <c r="G95" s="3">
        <v>155144</v>
      </c>
      <c r="H95" s="3"/>
      <c r="I95" s="3">
        <v>20000</v>
      </c>
      <c r="J95" s="3"/>
      <c r="K95" s="3">
        <v>0</v>
      </c>
      <c r="L95" s="3"/>
      <c r="M95" s="32">
        <v>0</v>
      </c>
      <c r="N95" s="3"/>
      <c r="O95" s="3">
        <v>0</v>
      </c>
      <c r="P95" s="3"/>
      <c r="Q95" s="3">
        <v>416007</v>
      </c>
      <c r="R95" s="3"/>
      <c r="S95" s="3">
        <v>307815</v>
      </c>
      <c r="T95" s="3"/>
      <c r="U95" s="3">
        <v>53845</v>
      </c>
      <c r="V95" s="3"/>
      <c r="W95" s="3">
        <v>202440</v>
      </c>
      <c r="X95" s="3"/>
      <c r="Y95" s="3">
        <v>146376</v>
      </c>
      <c r="Z95" s="3"/>
      <c r="AA95" s="3">
        <v>0</v>
      </c>
      <c r="AB95" s="3"/>
      <c r="AC95" s="3">
        <v>22316</v>
      </c>
      <c r="AD95" s="3"/>
      <c r="AE95" s="16" t="s">
        <v>335</v>
      </c>
      <c r="AG95" s="16" t="s">
        <v>175</v>
      </c>
      <c r="AI95" s="3">
        <v>0</v>
      </c>
      <c r="AJ95" s="3"/>
      <c r="AK95" s="3">
        <v>159731</v>
      </c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>
        <v>0</v>
      </c>
      <c r="AX95" s="3"/>
      <c r="AY95" s="3">
        <v>0</v>
      </c>
      <c r="AZ95" s="3"/>
      <c r="BA95" s="3">
        <v>0</v>
      </c>
      <c r="BB95" s="3"/>
      <c r="BC95" s="3">
        <v>0</v>
      </c>
      <c r="BD95" s="3"/>
      <c r="BE95" s="17">
        <f t="shared" si="13"/>
        <v>1483674</v>
      </c>
      <c r="BF95" s="16" t="s">
        <v>335</v>
      </c>
      <c r="BH95" s="16" t="s">
        <v>175</v>
      </c>
      <c r="BI95" s="3"/>
      <c r="BJ95" s="3">
        <v>2855</v>
      </c>
      <c r="BK95" s="3"/>
      <c r="BL95" s="3">
        <v>0</v>
      </c>
      <c r="BM95" s="3"/>
      <c r="BN95" s="3">
        <v>0</v>
      </c>
      <c r="BO95" s="3"/>
      <c r="BP95" s="3">
        <v>0</v>
      </c>
      <c r="BQ95" s="3"/>
      <c r="BR95" s="17">
        <f t="shared" si="10"/>
        <v>1486529</v>
      </c>
      <c r="BS95" s="3"/>
      <c r="BT95" s="17">
        <f>GovRev!AV95-BR95</f>
        <v>393125</v>
      </c>
      <c r="BU95" s="3"/>
      <c r="BV95" s="3">
        <v>255338</v>
      </c>
      <c r="BW95" s="3"/>
      <c r="BX95" s="3">
        <v>0</v>
      </c>
      <c r="BY95" s="3"/>
      <c r="BZ95" s="17">
        <f t="shared" si="22"/>
        <v>648463</v>
      </c>
      <c r="CA95" s="17"/>
      <c r="CB95" s="17">
        <f>-BZ95+GovBS!AE95</f>
        <v>0</v>
      </c>
      <c r="CE95" s="90" t="s">
        <v>320</v>
      </c>
      <c r="CF95" s="3" t="str">
        <f t="shared" si="19"/>
        <v>Lawrence County Educ Srv Ctr</v>
      </c>
      <c r="CG95" s="3" t="b">
        <f t="shared" si="14"/>
        <v>1</v>
      </c>
      <c r="CH95" s="3" t="b">
        <f t="shared" si="15"/>
        <v>1</v>
      </c>
      <c r="CI95" s="20" t="str">
        <f>GovRev!A95</f>
        <v>Lawrence County Educ Srv Ctr</v>
      </c>
      <c r="CJ95" s="20" t="b">
        <f t="shared" si="12"/>
        <v>1</v>
      </c>
      <c r="CL95" s="20" t="str">
        <f t="shared" si="16"/>
        <v>Lawrence</v>
      </c>
      <c r="CM95" s="20" t="b">
        <f t="shared" si="17"/>
        <v>1</v>
      </c>
      <c r="CN95" s="20" t="b">
        <f t="shared" si="18"/>
        <v>1</v>
      </c>
      <c r="CP95" s="16" t="b">
        <f>C95=GovRev!C95</f>
        <v>1</v>
      </c>
    </row>
    <row r="96" spans="1:94" s="16" customFormat="1">
      <c r="A96" s="3" t="s">
        <v>336</v>
      </c>
      <c r="B96" s="3"/>
      <c r="C96" s="3" t="s">
        <v>176</v>
      </c>
      <c r="G96" s="3">
        <v>1000</v>
      </c>
      <c r="H96" s="3"/>
      <c r="I96" s="3">
        <v>2723167</v>
      </c>
      <c r="J96" s="3"/>
      <c r="K96" s="3">
        <v>0</v>
      </c>
      <c r="L96" s="3"/>
      <c r="M96" s="32">
        <v>0</v>
      </c>
      <c r="N96" s="3"/>
      <c r="O96" s="3">
        <v>0</v>
      </c>
      <c r="P96" s="3"/>
      <c r="Q96" s="3">
        <v>1716540</v>
      </c>
      <c r="R96" s="3"/>
      <c r="S96" s="3">
        <v>4625016</v>
      </c>
      <c r="T96" s="3"/>
      <c r="U96" s="3">
        <v>11603</v>
      </c>
      <c r="V96" s="3"/>
      <c r="W96" s="3">
        <v>887932</v>
      </c>
      <c r="X96" s="3"/>
      <c r="Y96" s="3">
        <v>272583</v>
      </c>
      <c r="Z96" s="3"/>
      <c r="AA96" s="3">
        <v>8181</v>
      </c>
      <c r="AB96" s="3"/>
      <c r="AC96" s="3">
        <v>85804</v>
      </c>
      <c r="AD96" s="3"/>
      <c r="AE96" s="3" t="s">
        <v>336</v>
      </c>
      <c r="AF96" s="3"/>
      <c r="AG96" s="3" t="s">
        <v>176</v>
      </c>
      <c r="AI96" s="3">
        <v>0</v>
      </c>
      <c r="AJ96" s="3"/>
      <c r="AK96" s="3">
        <v>440138</v>
      </c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0</v>
      </c>
      <c r="AV96" s="3"/>
      <c r="AW96" s="3">
        <v>132477</v>
      </c>
      <c r="AX96" s="3"/>
      <c r="AY96" s="3">
        <v>29845</v>
      </c>
      <c r="AZ96" s="3"/>
      <c r="BA96" s="3">
        <v>6769</v>
      </c>
      <c r="BB96" s="3"/>
      <c r="BC96" s="3">
        <v>0</v>
      </c>
      <c r="BD96" s="3"/>
      <c r="BE96" s="17">
        <f>SUM(G96:BC96)</f>
        <v>10941055</v>
      </c>
      <c r="BF96" s="3" t="s">
        <v>336</v>
      </c>
      <c r="BG96" s="3"/>
      <c r="BH96" s="3" t="s">
        <v>176</v>
      </c>
      <c r="BI96" s="3"/>
      <c r="BJ96" s="3">
        <v>0</v>
      </c>
      <c r="BK96" s="3"/>
      <c r="BL96" s="3">
        <v>0</v>
      </c>
      <c r="BM96" s="3"/>
      <c r="BN96" s="3">
        <v>0</v>
      </c>
      <c r="BO96" s="3"/>
      <c r="BP96" s="3">
        <v>0</v>
      </c>
      <c r="BQ96" s="3"/>
      <c r="BR96" s="17">
        <f t="shared" si="10"/>
        <v>10941055</v>
      </c>
      <c r="BS96" s="3"/>
      <c r="BT96" s="17">
        <f>GovRev!AV96-BR96</f>
        <v>199837</v>
      </c>
      <c r="BU96" s="3"/>
      <c r="BV96" s="3">
        <v>-38606</v>
      </c>
      <c r="BW96" s="3"/>
      <c r="BX96" s="3">
        <v>0</v>
      </c>
      <c r="BY96" s="3"/>
      <c r="BZ96" s="17">
        <f t="shared" si="22"/>
        <v>161231</v>
      </c>
      <c r="CA96" s="17"/>
      <c r="CB96" s="17">
        <f>-BZ96+GovBS!AE96</f>
        <v>0</v>
      </c>
      <c r="CE96" s="3"/>
      <c r="CF96" s="3" t="str">
        <f t="shared" si="19"/>
        <v>Licking County Educ Srv Ctr</v>
      </c>
      <c r="CG96" s="3" t="b">
        <f t="shared" si="14"/>
        <v>1</v>
      </c>
      <c r="CH96" s="3" t="b">
        <f t="shared" si="15"/>
        <v>1</v>
      </c>
      <c r="CI96" s="20" t="str">
        <f>GovRev!A96</f>
        <v>Licking County Educ Srv Ctr</v>
      </c>
      <c r="CJ96" s="20" t="b">
        <f t="shared" si="12"/>
        <v>1</v>
      </c>
      <c r="CL96" s="20" t="str">
        <f t="shared" si="16"/>
        <v>Licking</v>
      </c>
      <c r="CM96" s="20" t="b">
        <f t="shared" si="17"/>
        <v>1</v>
      </c>
      <c r="CN96" s="20" t="b">
        <f t="shared" si="18"/>
        <v>1</v>
      </c>
      <c r="CP96" s="16" t="b">
        <f>C96=GovRev!C96</f>
        <v>1</v>
      </c>
    </row>
    <row r="97" spans="1:94" s="16" customFormat="1">
      <c r="A97" s="16" t="s">
        <v>337</v>
      </c>
      <c r="C97" s="16" t="s">
        <v>177</v>
      </c>
      <c r="E97" s="16">
        <v>48058</v>
      </c>
      <c r="G97" s="3">
        <v>0</v>
      </c>
      <c r="H97" s="3"/>
      <c r="I97" s="3">
        <v>2266694</v>
      </c>
      <c r="J97" s="3"/>
      <c r="K97" s="3">
        <v>0</v>
      </c>
      <c r="L97" s="3"/>
      <c r="M97" s="32">
        <v>0</v>
      </c>
      <c r="N97" s="3"/>
      <c r="O97" s="3">
        <v>0</v>
      </c>
      <c r="P97" s="3"/>
      <c r="Q97" s="3">
        <v>503235</v>
      </c>
      <c r="R97" s="3"/>
      <c r="S97" s="3">
        <v>304259</v>
      </c>
      <c r="T97" s="3"/>
      <c r="U97" s="3">
        <v>12045</v>
      </c>
      <c r="V97" s="3"/>
      <c r="W97" s="3">
        <v>148058</v>
      </c>
      <c r="X97" s="3"/>
      <c r="Y97" s="3">
        <v>278577</v>
      </c>
      <c r="Z97" s="3"/>
      <c r="AA97" s="3">
        <v>0</v>
      </c>
      <c r="AB97" s="3"/>
      <c r="AC97" s="3">
        <v>9088</v>
      </c>
      <c r="AD97" s="3"/>
      <c r="AE97" s="16" t="s">
        <v>337</v>
      </c>
      <c r="AG97" s="16" t="s">
        <v>177</v>
      </c>
      <c r="AH97" s="3"/>
      <c r="AI97" s="3">
        <v>0</v>
      </c>
      <c r="AJ97" s="3"/>
      <c r="AK97" s="3">
        <v>28968</v>
      </c>
      <c r="AL97" s="3"/>
      <c r="AM97" s="3">
        <v>0</v>
      </c>
      <c r="AN97" s="3"/>
      <c r="AO97" s="3">
        <v>0</v>
      </c>
      <c r="AP97" s="3"/>
      <c r="AQ97" s="3">
        <v>38963</v>
      </c>
      <c r="AR97" s="3"/>
      <c r="AS97" s="3">
        <v>125</v>
      </c>
      <c r="AT97" s="3"/>
      <c r="AU97" s="3">
        <v>0</v>
      </c>
      <c r="AV97" s="3"/>
      <c r="AW97" s="3">
        <v>0</v>
      </c>
      <c r="AX97" s="3"/>
      <c r="AY97" s="3">
        <v>0</v>
      </c>
      <c r="AZ97" s="3"/>
      <c r="BA97" s="3">
        <v>0</v>
      </c>
      <c r="BB97" s="3"/>
      <c r="BC97" s="3">
        <v>0</v>
      </c>
      <c r="BD97" s="3"/>
      <c r="BE97" s="17">
        <f t="shared" si="13"/>
        <v>3590012</v>
      </c>
      <c r="BF97" s="16" t="s">
        <v>337</v>
      </c>
      <c r="BH97" s="16" t="s">
        <v>177</v>
      </c>
      <c r="BI97" s="3"/>
      <c r="BJ97" s="3">
        <v>0</v>
      </c>
      <c r="BK97" s="3"/>
      <c r="BL97" s="3">
        <v>0</v>
      </c>
      <c r="BM97" s="3"/>
      <c r="BN97" s="3">
        <v>0</v>
      </c>
      <c r="BO97" s="3"/>
      <c r="BP97" s="3">
        <v>0</v>
      </c>
      <c r="BQ97" s="3"/>
      <c r="BR97" s="17">
        <f t="shared" si="10"/>
        <v>3590012</v>
      </c>
      <c r="BS97" s="3"/>
      <c r="BT97" s="17">
        <f>GovRev!AV97-BR97</f>
        <v>48229</v>
      </c>
      <c r="BU97" s="3"/>
      <c r="BV97" s="3">
        <v>671782</v>
      </c>
      <c r="BW97" s="3"/>
      <c r="BX97" s="3">
        <v>0</v>
      </c>
      <c r="BY97" s="3"/>
      <c r="BZ97" s="17">
        <f t="shared" si="22"/>
        <v>720011</v>
      </c>
      <c r="CA97" s="17"/>
      <c r="CB97" s="17">
        <f>-BZ97+GovBS!AE97</f>
        <v>0</v>
      </c>
      <c r="CE97" s="90" t="s">
        <v>320</v>
      </c>
      <c r="CF97" s="3" t="str">
        <f t="shared" si="19"/>
        <v>Logan County Educ Srv Ctr</v>
      </c>
      <c r="CG97" s="3" t="b">
        <f t="shared" si="14"/>
        <v>1</v>
      </c>
      <c r="CH97" s="3" t="b">
        <f t="shared" si="15"/>
        <v>1</v>
      </c>
      <c r="CI97" s="20" t="str">
        <f>GovRev!A97</f>
        <v>Logan County Educ Srv Ctr</v>
      </c>
      <c r="CJ97" s="20" t="b">
        <f t="shared" si="12"/>
        <v>1</v>
      </c>
      <c r="CL97" s="20" t="str">
        <f t="shared" si="16"/>
        <v>Logan</v>
      </c>
      <c r="CM97" s="20" t="b">
        <f t="shared" si="17"/>
        <v>1</v>
      </c>
      <c r="CN97" s="20" t="b">
        <f t="shared" si="18"/>
        <v>1</v>
      </c>
      <c r="CP97" s="16" t="b">
        <f>C97=GovRev!C97</f>
        <v>1</v>
      </c>
    </row>
    <row r="98" spans="1:94" s="16" customFormat="1">
      <c r="A98" s="16" t="s">
        <v>338</v>
      </c>
      <c r="C98" s="16" t="s">
        <v>145</v>
      </c>
      <c r="E98" s="16">
        <v>48108</v>
      </c>
      <c r="G98" s="3">
        <v>1179936</v>
      </c>
      <c r="H98" s="3"/>
      <c r="I98" s="3">
        <v>1306534</v>
      </c>
      <c r="J98" s="3"/>
      <c r="K98" s="3">
        <v>0</v>
      </c>
      <c r="L98" s="3"/>
      <c r="M98" s="32">
        <v>0</v>
      </c>
      <c r="N98" s="3"/>
      <c r="O98" s="3">
        <v>0</v>
      </c>
      <c r="P98" s="3"/>
      <c r="Q98" s="3">
        <v>1673112</v>
      </c>
      <c r="R98" s="3"/>
      <c r="S98" s="3">
        <v>5025438</v>
      </c>
      <c r="T98" s="3"/>
      <c r="U98" s="3">
        <v>33280</v>
      </c>
      <c r="V98" s="3"/>
      <c r="W98" s="3">
        <v>721377</v>
      </c>
      <c r="X98" s="3"/>
      <c r="Y98" s="3">
        <v>324109</v>
      </c>
      <c r="Z98" s="3"/>
      <c r="AA98" s="3">
        <v>478038</v>
      </c>
      <c r="AB98" s="3"/>
      <c r="AC98" s="3">
        <v>327365</v>
      </c>
      <c r="AD98" s="3"/>
      <c r="AE98" s="16" t="s">
        <v>338</v>
      </c>
      <c r="AG98" s="16" t="s">
        <v>145</v>
      </c>
      <c r="AH98" s="3"/>
      <c r="AI98" s="3">
        <v>0</v>
      </c>
      <c r="AJ98" s="3"/>
      <c r="AK98" s="3">
        <v>0</v>
      </c>
      <c r="AL98" s="3"/>
      <c r="AM98" s="3">
        <v>0</v>
      </c>
      <c r="AN98" s="3"/>
      <c r="AO98" s="3">
        <v>0</v>
      </c>
      <c r="AP98" s="3"/>
      <c r="AQ98" s="3">
        <f>64830+3331</f>
        <v>68161</v>
      </c>
      <c r="AR98" s="3"/>
      <c r="AS98" s="3">
        <v>12125</v>
      </c>
      <c r="AT98" s="3"/>
      <c r="AU98" s="3">
        <v>5157</v>
      </c>
      <c r="AV98" s="3"/>
      <c r="AW98" s="3">
        <v>0</v>
      </c>
      <c r="AX98" s="3"/>
      <c r="AY98" s="3">
        <v>0</v>
      </c>
      <c r="AZ98" s="3"/>
      <c r="BA98" s="3">
        <v>0</v>
      </c>
      <c r="BB98" s="3"/>
      <c r="BC98" s="3">
        <v>0</v>
      </c>
      <c r="BD98" s="3"/>
      <c r="BE98" s="17">
        <f t="shared" si="13"/>
        <v>11154632</v>
      </c>
      <c r="BF98" s="16" t="s">
        <v>338</v>
      </c>
      <c r="BH98" s="16" t="s">
        <v>145</v>
      </c>
      <c r="BI98" s="3"/>
      <c r="BJ98" s="3">
        <v>8700</v>
      </c>
      <c r="BK98" s="3"/>
      <c r="BL98" s="3">
        <v>0</v>
      </c>
      <c r="BM98" s="3"/>
      <c r="BN98" s="3">
        <v>0</v>
      </c>
      <c r="BO98" s="3"/>
      <c r="BP98" s="3">
        <v>0</v>
      </c>
      <c r="BQ98" s="3"/>
      <c r="BR98" s="17">
        <f t="shared" si="10"/>
        <v>11163332</v>
      </c>
      <c r="BS98" s="3"/>
      <c r="BT98" s="17">
        <f>GovRev!AV98-BR98</f>
        <v>-649040</v>
      </c>
      <c r="BU98" s="3"/>
      <c r="BV98" s="3">
        <v>3190679</v>
      </c>
      <c r="BW98" s="3"/>
      <c r="BX98" s="3">
        <v>0</v>
      </c>
      <c r="BY98" s="3"/>
      <c r="BZ98" s="17">
        <f t="shared" si="22"/>
        <v>2541639</v>
      </c>
      <c r="CA98" s="17"/>
      <c r="CB98" s="17">
        <f>-BZ98+GovBS!AE98</f>
        <v>0</v>
      </c>
      <c r="CE98" s="16" t="s">
        <v>388</v>
      </c>
      <c r="CF98" s="3" t="str">
        <f t="shared" si="19"/>
        <v>Lorain County Educ Srv Ctr</v>
      </c>
      <c r="CG98" s="3" t="b">
        <f t="shared" si="14"/>
        <v>1</v>
      </c>
      <c r="CH98" s="3" t="b">
        <f t="shared" si="15"/>
        <v>1</v>
      </c>
      <c r="CI98" s="20" t="str">
        <f>GovRev!A98</f>
        <v>Lorain County Educ Srv Ctr</v>
      </c>
      <c r="CJ98" s="20" t="b">
        <f t="shared" si="12"/>
        <v>1</v>
      </c>
      <c r="CL98" s="20" t="str">
        <f t="shared" si="16"/>
        <v>Lorain</v>
      </c>
      <c r="CM98" s="20" t="b">
        <f t="shared" si="17"/>
        <v>1</v>
      </c>
      <c r="CN98" s="20" t="b">
        <f t="shared" si="18"/>
        <v>1</v>
      </c>
      <c r="CP98" s="16" t="b">
        <f>C98=GovRev!C98</f>
        <v>1</v>
      </c>
    </row>
    <row r="99" spans="1:94" s="16" customFormat="1">
      <c r="A99" s="16" t="s">
        <v>339</v>
      </c>
      <c r="C99" s="16" t="s">
        <v>178</v>
      </c>
      <c r="E99" s="16">
        <v>48199</v>
      </c>
      <c r="G99" s="3">
        <v>40452</v>
      </c>
      <c r="H99" s="3"/>
      <c r="I99" s="3">
        <v>5794678</v>
      </c>
      <c r="J99" s="3"/>
      <c r="K99" s="3">
        <v>114278</v>
      </c>
      <c r="L99" s="3"/>
      <c r="M99" s="32">
        <v>52345</v>
      </c>
      <c r="N99" s="3"/>
      <c r="O99" s="3">
        <v>160536</v>
      </c>
      <c r="P99" s="3"/>
      <c r="Q99" s="3">
        <v>5787758</v>
      </c>
      <c r="R99" s="3"/>
      <c r="S99" s="3">
        <v>4995375</v>
      </c>
      <c r="T99" s="3"/>
      <c r="U99" s="3">
        <v>27876</v>
      </c>
      <c r="V99" s="3"/>
      <c r="W99" s="3">
        <v>2709927</v>
      </c>
      <c r="X99" s="3"/>
      <c r="Y99" s="3">
        <v>1185471</v>
      </c>
      <c r="Z99" s="3"/>
      <c r="AA99" s="3">
        <v>65395</v>
      </c>
      <c r="AB99" s="3"/>
      <c r="AC99" s="3">
        <v>1162638</v>
      </c>
      <c r="AD99" s="3"/>
      <c r="AE99" s="16" t="s">
        <v>339</v>
      </c>
      <c r="AG99" s="16" t="s">
        <v>178</v>
      </c>
      <c r="AH99" s="3"/>
      <c r="AI99" s="3">
        <v>2450</v>
      </c>
      <c r="AJ99" s="3"/>
      <c r="AK99" s="3">
        <v>266287</v>
      </c>
      <c r="AL99" s="3"/>
      <c r="AM99" s="3">
        <v>0</v>
      </c>
      <c r="AN99" s="3"/>
      <c r="AO99" s="3">
        <v>27411</v>
      </c>
      <c r="AP99" s="3"/>
      <c r="AQ99" s="3">
        <v>3149593</v>
      </c>
      <c r="AR99" s="3"/>
      <c r="AS99" s="3">
        <v>700</v>
      </c>
      <c r="AT99" s="3"/>
      <c r="AU99" s="3">
        <v>113464</v>
      </c>
      <c r="AV99" s="3"/>
      <c r="AW99" s="3">
        <v>0</v>
      </c>
      <c r="AX99" s="3"/>
      <c r="AY99" s="3">
        <v>1963</v>
      </c>
      <c r="AZ99" s="3"/>
      <c r="BA99" s="3">
        <v>546</v>
      </c>
      <c r="BB99" s="3"/>
      <c r="BC99" s="3">
        <v>0</v>
      </c>
      <c r="BD99" s="3"/>
      <c r="BE99" s="17">
        <f t="shared" si="13"/>
        <v>25659143</v>
      </c>
      <c r="BF99" s="16" t="s">
        <v>339</v>
      </c>
      <c r="BH99" s="16" t="s">
        <v>178</v>
      </c>
      <c r="BI99" s="3"/>
      <c r="BJ99" s="3">
        <v>194305</v>
      </c>
      <c r="BK99" s="3"/>
      <c r="BL99" s="3">
        <v>0</v>
      </c>
      <c r="BM99" s="3"/>
      <c r="BN99" s="3">
        <v>0</v>
      </c>
      <c r="BO99" s="3"/>
      <c r="BP99" s="3">
        <v>0</v>
      </c>
      <c r="BQ99" s="3"/>
      <c r="BR99" s="17">
        <f t="shared" si="10"/>
        <v>25853448</v>
      </c>
      <c r="BS99" s="3"/>
      <c r="BT99" s="17">
        <f>GovRev!AV99-BR99</f>
        <v>-853777</v>
      </c>
      <c r="BU99" s="3"/>
      <c r="BV99" s="3">
        <v>4705710</v>
      </c>
      <c r="BW99" s="3"/>
      <c r="BX99" s="3">
        <v>0</v>
      </c>
      <c r="BY99" s="3"/>
      <c r="BZ99" s="17">
        <f t="shared" si="22"/>
        <v>3851933</v>
      </c>
      <c r="CA99" s="17"/>
      <c r="CB99" s="17">
        <f>-BZ99+GovBS!AE99</f>
        <v>0</v>
      </c>
      <c r="CE99" s="3"/>
      <c r="CF99" s="3" t="str">
        <f t="shared" si="19"/>
        <v>Lucas County Educ Srv Ctr</v>
      </c>
      <c r="CG99" s="3" t="b">
        <f t="shared" si="14"/>
        <v>1</v>
      </c>
      <c r="CH99" s="3" t="b">
        <f t="shared" si="15"/>
        <v>1</v>
      </c>
      <c r="CI99" s="20" t="str">
        <f>GovRev!A99</f>
        <v>Lucas County Educ Srv Ctr</v>
      </c>
      <c r="CJ99" s="20" t="b">
        <f t="shared" si="12"/>
        <v>1</v>
      </c>
      <c r="CL99" s="20" t="str">
        <f t="shared" si="16"/>
        <v>Lucas</v>
      </c>
      <c r="CM99" s="20" t="b">
        <f t="shared" si="17"/>
        <v>1</v>
      </c>
      <c r="CN99" s="20" t="b">
        <f t="shared" si="18"/>
        <v>1</v>
      </c>
      <c r="CP99" s="16" t="b">
        <f>C99=GovRev!C99</f>
        <v>1</v>
      </c>
    </row>
    <row r="100" spans="1:94" s="66" customFormat="1" hidden="1">
      <c r="A100" s="65" t="s">
        <v>391</v>
      </c>
      <c r="C100" s="66" t="s">
        <v>154</v>
      </c>
      <c r="E100" s="66">
        <v>137364</v>
      </c>
      <c r="G100" s="65"/>
      <c r="H100" s="65"/>
      <c r="I100" s="65"/>
      <c r="J100" s="65"/>
      <c r="K100" s="65"/>
      <c r="L100" s="65"/>
      <c r="M100" s="80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 t="s">
        <v>391</v>
      </c>
      <c r="AG100" s="66" t="s">
        <v>154</v>
      </c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7">
        <f t="shared" si="13"/>
        <v>0</v>
      </c>
      <c r="BF100" s="65" t="s">
        <v>391</v>
      </c>
      <c r="BH100" s="66" t="s">
        <v>154</v>
      </c>
      <c r="BI100" s="65"/>
      <c r="BJ100" s="65"/>
      <c r="BK100" s="65"/>
      <c r="BL100" s="65">
        <v>0</v>
      </c>
      <c r="BM100" s="65"/>
      <c r="BN100" s="65">
        <v>0</v>
      </c>
      <c r="BO100" s="65"/>
      <c r="BP100" s="65">
        <v>0</v>
      </c>
      <c r="BQ100" s="65"/>
      <c r="BR100" s="67">
        <f t="shared" si="10"/>
        <v>0</v>
      </c>
      <c r="BS100" s="65"/>
      <c r="BT100" s="67">
        <f>GovRev!AV100-BR100</f>
        <v>0</v>
      </c>
      <c r="BU100" s="65"/>
      <c r="BV100" s="65"/>
      <c r="BW100" s="65"/>
      <c r="BX100" s="65"/>
      <c r="BY100" s="65"/>
      <c r="BZ100" s="67">
        <f t="shared" si="22"/>
        <v>0</v>
      </c>
      <c r="CA100" s="67"/>
      <c r="CB100" s="67">
        <f>-BZ100+GovBS!AE100</f>
        <v>0</v>
      </c>
      <c r="CE100" s="65" t="s">
        <v>390</v>
      </c>
      <c r="CF100" s="65" t="str">
        <f t="shared" si="19"/>
        <v>Madison-Champaign Educ Srv Ctr (CASH)</v>
      </c>
      <c r="CG100" s="65" t="b">
        <f t="shared" si="14"/>
        <v>1</v>
      </c>
      <c r="CH100" s="65" t="b">
        <f t="shared" si="15"/>
        <v>1</v>
      </c>
      <c r="CI100" s="68" t="str">
        <f>GovRev!A100</f>
        <v>Madison-Champaign Educ Srv Ctr (CASH)</v>
      </c>
      <c r="CJ100" s="68" t="b">
        <f t="shared" si="12"/>
        <v>1</v>
      </c>
      <c r="CL100" s="68" t="str">
        <f t="shared" si="16"/>
        <v>Champaign</v>
      </c>
      <c r="CM100" s="68" t="b">
        <f t="shared" si="17"/>
        <v>1</v>
      </c>
      <c r="CN100" s="68" t="b">
        <f t="shared" si="18"/>
        <v>1</v>
      </c>
      <c r="CP100" s="66" t="b">
        <f>C100=GovRev!C100</f>
        <v>1</v>
      </c>
    </row>
    <row r="101" spans="1:94" s="16" customFormat="1" ht="12.75" customHeight="1">
      <c r="A101" s="3" t="s">
        <v>392</v>
      </c>
      <c r="C101" s="16" t="s">
        <v>179</v>
      </c>
      <c r="E101" s="16">
        <v>48280</v>
      </c>
      <c r="G101" s="3">
        <v>1940878</v>
      </c>
      <c r="H101" s="3"/>
      <c r="I101" s="3">
        <v>6254526</v>
      </c>
      <c r="J101" s="3"/>
      <c r="K101" s="3">
        <v>62880</v>
      </c>
      <c r="L101" s="3"/>
      <c r="M101" s="32">
        <v>0</v>
      </c>
      <c r="N101" s="3"/>
      <c r="O101" s="3">
        <v>0</v>
      </c>
      <c r="P101" s="3"/>
      <c r="Q101" s="3">
        <v>5451987</v>
      </c>
      <c r="R101" s="3"/>
      <c r="S101" s="3">
        <v>6449045</v>
      </c>
      <c r="T101" s="3"/>
      <c r="U101" s="3">
        <v>100470</v>
      </c>
      <c r="V101" s="3"/>
      <c r="W101" s="3">
        <v>835245</v>
      </c>
      <c r="X101" s="3"/>
      <c r="Y101" s="3">
        <v>706909</v>
      </c>
      <c r="Z101" s="3"/>
      <c r="AA101" s="3">
        <v>311109</v>
      </c>
      <c r="AB101" s="3"/>
      <c r="AC101" s="3">
        <v>406769</v>
      </c>
      <c r="AD101" s="3"/>
      <c r="AE101" s="3" t="s">
        <v>392</v>
      </c>
      <c r="AG101" s="16" t="s">
        <v>179</v>
      </c>
      <c r="AH101" s="3"/>
      <c r="AI101" s="3">
        <v>14825</v>
      </c>
      <c r="AJ101" s="3"/>
      <c r="AK101" s="3">
        <v>652729</v>
      </c>
      <c r="AL101" s="3"/>
      <c r="AM101" s="3">
        <v>0</v>
      </c>
      <c r="AN101" s="3"/>
      <c r="AO101" s="3">
        <v>0</v>
      </c>
      <c r="AP101" s="3"/>
      <c r="AQ101" s="3">
        <v>156825</v>
      </c>
      <c r="AR101" s="3"/>
      <c r="AS101" s="3">
        <v>0</v>
      </c>
      <c r="AT101" s="3"/>
      <c r="AU101" s="3">
        <v>0</v>
      </c>
      <c r="AV101" s="3"/>
      <c r="AW101" s="3">
        <v>0</v>
      </c>
      <c r="AX101" s="3"/>
      <c r="AY101" s="3">
        <v>0</v>
      </c>
      <c r="AZ101" s="3"/>
      <c r="BA101" s="3">
        <v>0</v>
      </c>
      <c r="BB101" s="3"/>
      <c r="BC101" s="3">
        <v>0</v>
      </c>
      <c r="BD101" s="3"/>
      <c r="BE101" s="17">
        <f t="shared" si="13"/>
        <v>23344197</v>
      </c>
      <c r="BF101" s="3" t="s">
        <v>392</v>
      </c>
      <c r="BH101" s="16" t="s">
        <v>179</v>
      </c>
      <c r="BI101" s="3"/>
      <c r="BJ101" s="3">
        <v>120000</v>
      </c>
      <c r="BK101" s="3"/>
      <c r="BL101" s="3">
        <v>0</v>
      </c>
      <c r="BM101" s="3"/>
      <c r="BN101" s="3">
        <v>0</v>
      </c>
      <c r="BO101" s="3"/>
      <c r="BP101" s="3">
        <v>0</v>
      </c>
      <c r="BQ101" s="3"/>
      <c r="BR101" s="17">
        <f t="shared" si="10"/>
        <v>23464197</v>
      </c>
      <c r="BS101" s="3"/>
      <c r="BT101" s="17">
        <f>GovRev!AV101-BR101</f>
        <v>-1051436</v>
      </c>
      <c r="BU101" s="3"/>
      <c r="BV101" s="3">
        <v>2263419</v>
      </c>
      <c r="BW101" s="3"/>
      <c r="BX101" s="3">
        <v>0</v>
      </c>
      <c r="BY101" s="3"/>
      <c r="BZ101" s="17">
        <f t="shared" si="22"/>
        <v>1211983</v>
      </c>
      <c r="CA101" s="17"/>
      <c r="CB101" s="17">
        <f>-BZ101+GovBS!AE101</f>
        <v>0</v>
      </c>
      <c r="CE101" s="3"/>
      <c r="CF101" s="3" t="str">
        <f t="shared" si="19"/>
        <v>Mahoning County Educ Srv Ctr</v>
      </c>
      <c r="CG101" s="3" t="b">
        <f t="shared" si="14"/>
        <v>1</v>
      </c>
      <c r="CH101" s="3" t="b">
        <f t="shared" si="15"/>
        <v>1</v>
      </c>
      <c r="CI101" s="20" t="str">
        <f>GovRev!A101</f>
        <v>Mahoning County Educ Srv Ctr</v>
      </c>
      <c r="CJ101" s="20" t="b">
        <f t="shared" ref="CJ101:CJ130" si="23">CF101=CI101</f>
        <v>1</v>
      </c>
      <c r="CL101" s="20" t="str">
        <f t="shared" si="16"/>
        <v>Mahoning</v>
      </c>
      <c r="CM101" s="20" t="b">
        <f t="shared" si="17"/>
        <v>1</v>
      </c>
      <c r="CN101" s="20" t="b">
        <f t="shared" si="18"/>
        <v>1</v>
      </c>
      <c r="CP101" s="16" t="b">
        <f>C101=GovRev!C101</f>
        <v>1</v>
      </c>
    </row>
    <row r="102" spans="1:94" s="16" customFormat="1">
      <c r="A102" s="3" t="s">
        <v>180</v>
      </c>
      <c r="C102" s="16" t="s">
        <v>181</v>
      </c>
      <c r="E102" s="16">
        <v>48454</v>
      </c>
      <c r="G102" s="3">
        <v>1485901</v>
      </c>
      <c r="H102" s="3"/>
      <c r="I102" s="3">
        <v>369951</v>
      </c>
      <c r="J102" s="3"/>
      <c r="K102" s="3">
        <v>1596</v>
      </c>
      <c r="L102" s="3"/>
      <c r="M102" s="32">
        <v>206846</v>
      </c>
      <c r="N102" s="3"/>
      <c r="O102" s="3">
        <v>863</v>
      </c>
      <c r="P102" s="3"/>
      <c r="Q102" s="3">
        <v>1163113</v>
      </c>
      <c r="R102" s="3"/>
      <c r="S102" s="3">
        <v>2805420</v>
      </c>
      <c r="T102" s="3"/>
      <c r="U102" s="3">
        <v>43865</v>
      </c>
      <c r="V102" s="3"/>
      <c r="W102" s="3">
        <v>311698</v>
      </c>
      <c r="X102" s="3"/>
      <c r="Y102" s="3">
        <v>227026</v>
      </c>
      <c r="Z102" s="3"/>
      <c r="AA102" s="3">
        <v>344439</v>
      </c>
      <c r="AB102" s="3"/>
      <c r="AC102" s="3">
        <v>0</v>
      </c>
      <c r="AD102" s="3"/>
      <c r="AE102" s="3" t="s">
        <v>180</v>
      </c>
      <c r="AG102" s="16" t="s">
        <v>181</v>
      </c>
      <c r="AH102" s="3"/>
      <c r="AI102" s="3">
        <v>13681</v>
      </c>
      <c r="AJ102" s="3"/>
      <c r="AK102" s="3">
        <v>423241</v>
      </c>
      <c r="AL102" s="3"/>
      <c r="AM102" s="3">
        <v>0</v>
      </c>
      <c r="AN102" s="3"/>
      <c r="AO102" s="3">
        <v>0</v>
      </c>
      <c r="AP102" s="3"/>
      <c r="AQ102" s="3">
        <v>12177</v>
      </c>
      <c r="AR102" s="3"/>
      <c r="AS102" s="3">
        <v>20682</v>
      </c>
      <c r="AT102" s="3"/>
      <c r="AU102" s="3">
        <v>0</v>
      </c>
      <c r="AV102" s="3"/>
      <c r="AW102" s="3">
        <v>0</v>
      </c>
      <c r="AX102" s="3"/>
      <c r="AY102" s="3">
        <v>0</v>
      </c>
      <c r="AZ102" s="3"/>
      <c r="BA102" s="3">
        <v>0</v>
      </c>
      <c r="BB102" s="3"/>
      <c r="BC102" s="3">
        <v>0</v>
      </c>
      <c r="BD102" s="3"/>
      <c r="BE102" s="17">
        <f t="shared" si="13"/>
        <v>7430499</v>
      </c>
      <c r="BF102" s="3" t="s">
        <v>180</v>
      </c>
      <c r="BH102" s="16" t="s">
        <v>181</v>
      </c>
      <c r="BI102" s="3"/>
      <c r="BJ102" s="3">
        <v>1761</v>
      </c>
      <c r="BK102" s="3"/>
      <c r="BL102" s="3">
        <v>0</v>
      </c>
      <c r="BM102" s="3"/>
      <c r="BN102" s="3">
        <v>0</v>
      </c>
      <c r="BO102" s="3"/>
      <c r="BP102" s="3">
        <v>0</v>
      </c>
      <c r="BQ102" s="3"/>
      <c r="BR102" s="17">
        <f t="shared" si="10"/>
        <v>7432260</v>
      </c>
      <c r="BS102" s="3"/>
      <c r="BT102" s="17">
        <f>GovRev!AV102-BR102</f>
        <v>-489723</v>
      </c>
      <c r="BU102" s="3"/>
      <c r="BV102" s="3">
        <v>2249329</v>
      </c>
      <c r="BW102" s="3"/>
      <c r="BX102" s="3">
        <v>0</v>
      </c>
      <c r="BY102" s="3"/>
      <c r="BZ102" s="17">
        <f t="shared" si="22"/>
        <v>1759606</v>
      </c>
      <c r="CA102" s="17"/>
      <c r="CB102" s="17">
        <f>-BZ102+GovBS!AE102</f>
        <v>0</v>
      </c>
      <c r="CE102" s="3"/>
      <c r="CF102" s="3" t="str">
        <f t="shared" si="19"/>
        <v>Medina County Educ Srv Ctr</v>
      </c>
      <c r="CG102" s="3" t="b">
        <f t="shared" si="14"/>
        <v>1</v>
      </c>
      <c r="CH102" s="3" t="b">
        <f t="shared" si="15"/>
        <v>1</v>
      </c>
      <c r="CI102" s="20" t="str">
        <f>GovRev!A102</f>
        <v>Medina County Educ Srv Ctr</v>
      </c>
      <c r="CJ102" s="20" t="b">
        <f t="shared" si="23"/>
        <v>1</v>
      </c>
      <c r="CL102" s="20" t="str">
        <f t="shared" si="16"/>
        <v>Medina</v>
      </c>
      <c r="CM102" s="20" t="b">
        <f t="shared" si="17"/>
        <v>1</v>
      </c>
      <c r="CN102" s="20" t="b">
        <f t="shared" si="18"/>
        <v>1</v>
      </c>
      <c r="CP102" s="16" t="b">
        <f>C102=GovRev!C102</f>
        <v>1</v>
      </c>
    </row>
    <row r="103" spans="1:94" s="66" customFormat="1" hidden="1">
      <c r="A103" s="65" t="s">
        <v>394</v>
      </c>
      <c r="C103" s="66" t="s">
        <v>182</v>
      </c>
      <c r="E103" s="66">
        <v>48546</v>
      </c>
      <c r="G103" s="65"/>
      <c r="H103" s="65"/>
      <c r="I103" s="65"/>
      <c r="J103" s="65"/>
      <c r="K103" s="65"/>
      <c r="L103" s="65"/>
      <c r="M103" s="80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 t="s">
        <v>394</v>
      </c>
      <c r="AG103" s="66" t="s">
        <v>182</v>
      </c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7">
        <f t="shared" si="13"/>
        <v>0</v>
      </c>
      <c r="BF103" s="65" t="s">
        <v>394</v>
      </c>
      <c r="BH103" s="66" t="s">
        <v>182</v>
      </c>
      <c r="BI103" s="65"/>
      <c r="BJ103" s="65"/>
      <c r="BK103" s="65"/>
      <c r="BL103" s="65">
        <v>0</v>
      </c>
      <c r="BM103" s="65"/>
      <c r="BN103" s="65">
        <v>0</v>
      </c>
      <c r="BO103" s="65"/>
      <c r="BP103" s="65">
        <v>0</v>
      </c>
      <c r="BQ103" s="65"/>
      <c r="BR103" s="67">
        <f t="shared" si="10"/>
        <v>0</v>
      </c>
      <c r="BS103" s="65"/>
      <c r="BT103" s="67">
        <f>GovRev!AV103-BR103</f>
        <v>0</v>
      </c>
      <c r="BU103" s="65"/>
      <c r="BV103" s="65"/>
      <c r="BW103" s="65"/>
      <c r="BX103" s="65"/>
      <c r="BY103" s="65"/>
      <c r="BZ103" s="67">
        <f t="shared" si="22"/>
        <v>0</v>
      </c>
      <c r="CA103" s="67"/>
      <c r="CB103" s="67">
        <f>-BZ103+GovBS!AE103</f>
        <v>0</v>
      </c>
      <c r="CE103" s="80" t="s">
        <v>393</v>
      </c>
      <c r="CF103" s="65" t="str">
        <f t="shared" si="19"/>
        <v>Mercer County Educ Srv Ctr (CASH)</v>
      </c>
      <c r="CG103" s="65" t="b">
        <f t="shared" si="14"/>
        <v>1</v>
      </c>
      <c r="CH103" s="65" t="b">
        <f t="shared" si="15"/>
        <v>1</v>
      </c>
      <c r="CI103" s="68" t="str">
        <f>GovRev!A103</f>
        <v>Mercer County Educ Srv Ctr (CASH)</v>
      </c>
      <c r="CJ103" s="68" t="b">
        <f t="shared" si="23"/>
        <v>1</v>
      </c>
      <c r="CL103" s="68" t="str">
        <f t="shared" si="16"/>
        <v>Mercer</v>
      </c>
      <c r="CM103" s="68" t="b">
        <f t="shared" si="17"/>
        <v>1</v>
      </c>
      <c r="CN103" s="68" t="b">
        <f t="shared" si="18"/>
        <v>1</v>
      </c>
      <c r="CP103" s="66" t="b">
        <f>C103=GovRev!C103</f>
        <v>1</v>
      </c>
    </row>
    <row r="104" spans="1:94" s="16" customFormat="1">
      <c r="A104" s="3" t="s">
        <v>395</v>
      </c>
      <c r="C104" s="16" t="s">
        <v>183</v>
      </c>
      <c r="E104" s="16">
        <v>48603</v>
      </c>
      <c r="G104" s="3">
        <v>105488</v>
      </c>
      <c r="H104" s="3"/>
      <c r="I104" s="3">
        <v>4393702</v>
      </c>
      <c r="J104" s="3"/>
      <c r="K104" s="3">
        <v>0</v>
      </c>
      <c r="L104" s="3"/>
      <c r="M104" s="32">
        <v>0</v>
      </c>
      <c r="N104" s="3"/>
      <c r="O104" s="3">
        <v>0</v>
      </c>
      <c r="P104" s="3"/>
      <c r="Q104" s="3">
        <v>2748971</v>
      </c>
      <c r="R104" s="3"/>
      <c r="S104" s="3">
        <v>2671432</v>
      </c>
      <c r="T104" s="3"/>
      <c r="U104" s="3">
        <v>18382</v>
      </c>
      <c r="V104" s="3"/>
      <c r="W104" s="3">
        <v>1084744</v>
      </c>
      <c r="X104" s="3"/>
      <c r="Y104" s="3">
        <v>202801</v>
      </c>
      <c r="Z104" s="3"/>
      <c r="AA104" s="3">
        <v>0</v>
      </c>
      <c r="AB104" s="3"/>
      <c r="AC104" s="3">
        <v>101994</v>
      </c>
      <c r="AD104" s="3"/>
      <c r="AE104" s="3" t="s">
        <v>395</v>
      </c>
      <c r="AG104" s="16" t="s">
        <v>183</v>
      </c>
      <c r="AH104" s="3"/>
      <c r="AI104" s="3">
        <v>8277</v>
      </c>
      <c r="AJ104" s="3"/>
      <c r="AK104" s="3">
        <v>203839</v>
      </c>
      <c r="AL104" s="3"/>
      <c r="AM104" s="3">
        <v>0</v>
      </c>
      <c r="AN104" s="3"/>
      <c r="AO104" s="3">
        <v>0</v>
      </c>
      <c r="AP104" s="3"/>
      <c r="AQ104" s="3">
        <v>0</v>
      </c>
      <c r="AR104" s="3"/>
      <c r="AS104" s="3">
        <v>7706</v>
      </c>
      <c r="AT104" s="3"/>
      <c r="AU104" s="3">
        <v>40250</v>
      </c>
      <c r="AV104" s="3"/>
      <c r="AW104" s="3">
        <v>0</v>
      </c>
      <c r="AX104" s="3"/>
      <c r="AY104" s="3">
        <v>6978</v>
      </c>
      <c r="AZ104" s="3"/>
      <c r="BA104" s="3">
        <v>5993</v>
      </c>
      <c r="BB104" s="3"/>
      <c r="BC104" s="3">
        <v>0</v>
      </c>
      <c r="BD104" s="3"/>
      <c r="BE104" s="17">
        <f t="shared" si="13"/>
        <v>11600557</v>
      </c>
      <c r="BF104" s="3" t="s">
        <v>395</v>
      </c>
      <c r="BH104" s="16" t="s">
        <v>183</v>
      </c>
      <c r="BI104" s="3"/>
      <c r="BJ104" s="3">
        <v>0</v>
      </c>
      <c r="BK104" s="3"/>
      <c r="BL104" s="3">
        <v>0</v>
      </c>
      <c r="BM104" s="3"/>
      <c r="BN104" s="3">
        <v>0</v>
      </c>
      <c r="BO104" s="3"/>
      <c r="BP104" s="3">
        <v>0</v>
      </c>
      <c r="BQ104" s="3"/>
      <c r="BR104" s="17">
        <f t="shared" si="10"/>
        <v>11600557</v>
      </c>
      <c r="BS104" s="3"/>
      <c r="BT104" s="17">
        <f>GovRev!AV104-BR104</f>
        <v>204717</v>
      </c>
      <c r="BU104" s="3"/>
      <c r="BV104" s="3">
        <v>1625967</v>
      </c>
      <c r="BW104" s="3"/>
      <c r="BX104" s="3">
        <v>0</v>
      </c>
      <c r="BY104" s="3"/>
      <c r="BZ104" s="17">
        <f t="shared" si="22"/>
        <v>1830684</v>
      </c>
      <c r="CA104" s="17"/>
      <c r="CB104" s="17">
        <f>-BZ104+GovBS!AE104</f>
        <v>0</v>
      </c>
      <c r="CE104" s="3"/>
      <c r="CF104" s="3" t="str">
        <f t="shared" si="19"/>
        <v>Miami County Educ Srv Ctr</v>
      </c>
      <c r="CG104" s="3" t="b">
        <f t="shared" si="14"/>
        <v>1</v>
      </c>
      <c r="CH104" s="3" t="b">
        <f t="shared" si="15"/>
        <v>1</v>
      </c>
      <c r="CI104" s="20" t="str">
        <f>GovRev!A104</f>
        <v>Miami County Educ Srv Ctr</v>
      </c>
      <c r="CJ104" s="20" t="b">
        <f t="shared" si="23"/>
        <v>1</v>
      </c>
      <c r="CL104" s="20" t="str">
        <f t="shared" si="16"/>
        <v>Miami</v>
      </c>
      <c r="CM104" s="20" t="b">
        <f t="shared" si="17"/>
        <v>1</v>
      </c>
      <c r="CN104" s="20" t="b">
        <f t="shared" si="18"/>
        <v>1</v>
      </c>
      <c r="CP104" s="16" t="b">
        <f>C104=GovRev!C104</f>
        <v>1</v>
      </c>
    </row>
    <row r="105" spans="1:94" s="66" customFormat="1" hidden="1">
      <c r="A105" s="65" t="s">
        <v>293</v>
      </c>
      <c r="B105" s="65"/>
      <c r="C105" s="65" t="s">
        <v>193</v>
      </c>
      <c r="G105" s="65"/>
      <c r="H105" s="65"/>
      <c r="I105" s="65"/>
      <c r="J105" s="65"/>
      <c r="K105" s="65"/>
      <c r="L105" s="65"/>
      <c r="M105" s="80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 t="s">
        <v>293</v>
      </c>
      <c r="AF105" s="65"/>
      <c r="AG105" s="65" t="s">
        <v>193</v>
      </c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7">
        <f t="shared" si="13"/>
        <v>0</v>
      </c>
      <c r="BF105" s="65" t="s">
        <v>293</v>
      </c>
      <c r="BG105" s="65"/>
      <c r="BH105" s="65" t="s">
        <v>193</v>
      </c>
      <c r="BI105" s="65"/>
      <c r="BJ105" s="65"/>
      <c r="BK105" s="65"/>
      <c r="BL105" s="65">
        <v>0</v>
      </c>
      <c r="BM105" s="65"/>
      <c r="BN105" s="65">
        <v>0</v>
      </c>
      <c r="BO105" s="65"/>
      <c r="BP105" s="65">
        <v>0</v>
      </c>
      <c r="BQ105" s="65"/>
      <c r="BR105" s="67">
        <f t="shared" si="10"/>
        <v>0</v>
      </c>
      <c r="BS105" s="65"/>
      <c r="BT105" s="67">
        <f>GovRev!AV105-BR105</f>
        <v>0</v>
      </c>
      <c r="BU105" s="65"/>
      <c r="BV105" s="65"/>
      <c r="BW105" s="65"/>
      <c r="BX105" s="65"/>
      <c r="BY105" s="65"/>
      <c r="BZ105" s="67">
        <f t="shared" si="22"/>
        <v>0</v>
      </c>
      <c r="CA105" s="67"/>
      <c r="CB105" s="67">
        <f>-BZ105+GovBS!AE105</f>
        <v>0</v>
      </c>
      <c r="CE105" s="80" t="s">
        <v>393</v>
      </c>
      <c r="CF105" s="65" t="str">
        <f t="shared" si="19"/>
        <v>Mid-Ohio Educ Srv Ctr  (CASH)</v>
      </c>
      <c r="CG105" s="65" t="b">
        <f t="shared" si="14"/>
        <v>1</v>
      </c>
      <c r="CH105" s="65" t="b">
        <f t="shared" si="15"/>
        <v>1</v>
      </c>
      <c r="CI105" s="68" t="str">
        <f>GovRev!A105</f>
        <v>Mid-Ohio Educ Srv Ctr  (CASH)</v>
      </c>
      <c r="CJ105" s="68" t="b">
        <f t="shared" si="23"/>
        <v>1</v>
      </c>
      <c r="CL105" s="68" t="str">
        <f t="shared" si="16"/>
        <v>Richland</v>
      </c>
      <c r="CM105" s="68" t="b">
        <f t="shared" si="17"/>
        <v>1</v>
      </c>
      <c r="CN105" s="68" t="b">
        <f t="shared" si="18"/>
        <v>1</v>
      </c>
      <c r="CP105" s="66" t="b">
        <f>C105=GovRev!C105</f>
        <v>1</v>
      </c>
    </row>
    <row r="106" spans="1:94" s="16" customFormat="1">
      <c r="A106" s="3" t="s">
        <v>398</v>
      </c>
      <c r="C106" s="16" t="s">
        <v>184</v>
      </c>
      <c r="E106" s="16">
        <v>48660</v>
      </c>
      <c r="G106" s="3">
        <v>0</v>
      </c>
      <c r="H106" s="3"/>
      <c r="I106" s="3">
        <v>6550554</v>
      </c>
      <c r="J106" s="3"/>
      <c r="K106" s="3">
        <v>0</v>
      </c>
      <c r="L106" s="3"/>
      <c r="M106" s="32">
        <v>0</v>
      </c>
      <c r="N106" s="3"/>
      <c r="O106" s="3">
        <v>0</v>
      </c>
      <c r="P106" s="3"/>
      <c r="Q106" s="3">
        <v>8489255</v>
      </c>
      <c r="R106" s="3"/>
      <c r="S106" s="3">
        <v>9430807</v>
      </c>
      <c r="T106" s="3"/>
      <c r="U106" s="3">
        <v>93435</v>
      </c>
      <c r="V106" s="3"/>
      <c r="W106" s="3">
        <v>2148042</v>
      </c>
      <c r="X106" s="3"/>
      <c r="Y106" s="3">
        <v>656238</v>
      </c>
      <c r="Z106" s="3"/>
      <c r="AA106" s="3">
        <v>57881</v>
      </c>
      <c r="AB106" s="3"/>
      <c r="AC106" s="3">
        <v>1790173</v>
      </c>
      <c r="AD106" s="3"/>
      <c r="AE106" s="3" t="s">
        <v>398</v>
      </c>
      <c r="AG106" s="16" t="s">
        <v>184</v>
      </c>
      <c r="AH106" s="3"/>
      <c r="AI106" s="3">
        <v>1082158</v>
      </c>
      <c r="AJ106" s="3"/>
      <c r="AK106" s="3">
        <v>961771</v>
      </c>
      <c r="AL106" s="3"/>
      <c r="AM106" s="3">
        <v>0</v>
      </c>
      <c r="AN106" s="3"/>
      <c r="AO106" s="3">
        <v>0</v>
      </c>
      <c r="AP106" s="3"/>
      <c r="AQ106" s="3">
        <v>257388</v>
      </c>
      <c r="AR106" s="3"/>
      <c r="AS106" s="3">
        <v>0</v>
      </c>
      <c r="AT106" s="3"/>
      <c r="AU106" s="3">
        <v>31477</v>
      </c>
      <c r="AV106" s="3"/>
      <c r="AW106" s="3">
        <v>0</v>
      </c>
      <c r="AX106" s="3"/>
      <c r="AY106" s="3">
        <v>208559</v>
      </c>
      <c r="AZ106" s="3"/>
      <c r="BA106" s="3">
        <v>19106</v>
      </c>
      <c r="BB106" s="3"/>
      <c r="BC106" s="3">
        <v>0</v>
      </c>
      <c r="BD106" s="3"/>
      <c r="BE106" s="17">
        <f t="shared" si="13"/>
        <v>31776844</v>
      </c>
      <c r="BF106" s="3" t="s">
        <v>398</v>
      </c>
      <c r="BH106" s="16" t="s">
        <v>184</v>
      </c>
      <c r="BI106" s="3"/>
      <c r="BJ106" s="3">
        <v>108849</v>
      </c>
      <c r="BK106" s="3"/>
      <c r="BL106" s="3">
        <v>0</v>
      </c>
      <c r="BM106" s="3"/>
      <c r="BN106" s="3">
        <v>0</v>
      </c>
      <c r="BO106" s="3"/>
      <c r="BP106" s="3">
        <v>0</v>
      </c>
      <c r="BQ106" s="3"/>
      <c r="BR106" s="17">
        <f t="shared" si="10"/>
        <v>31885693</v>
      </c>
      <c r="BS106" s="3"/>
      <c r="BT106" s="17">
        <f>GovRev!AV106-BR106</f>
        <v>-373741</v>
      </c>
      <c r="BU106" s="3"/>
      <c r="BV106" s="3">
        <v>13710675</v>
      </c>
      <c r="BW106" s="3"/>
      <c r="BX106" s="3">
        <v>0</v>
      </c>
      <c r="BY106" s="3"/>
      <c r="BZ106" s="17">
        <f t="shared" si="22"/>
        <v>13336934</v>
      </c>
      <c r="CA106" s="17"/>
      <c r="CB106" s="17">
        <f>-BZ106+GovBS!AE106</f>
        <v>0</v>
      </c>
      <c r="CE106" s="3"/>
      <c r="CF106" s="3" t="str">
        <f t="shared" si="19"/>
        <v>Montgomery County Educ Srv Ctr</v>
      </c>
      <c r="CG106" s="3" t="b">
        <f t="shared" si="14"/>
        <v>1</v>
      </c>
      <c r="CH106" s="3" t="b">
        <f t="shared" si="15"/>
        <v>1</v>
      </c>
      <c r="CI106" s="20" t="str">
        <f>GovRev!A106</f>
        <v>Montgomery County Educ Srv Ctr</v>
      </c>
      <c r="CJ106" s="20" t="b">
        <f t="shared" si="23"/>
        <v>1</v>
      </c>
      <c r="CL106" s="20" t="str">
        <f t="shared" si="16"/>
        <v>Montgomery</v>
      </c>
      <c r="CM106" s="20" t="b">
        <f t="shared" si="17"/>
        <v>1</v>
      </c>
      <c r="CN106" s="20" t="b">
        <f t="shared" si="18"/>
        <v>1</v>
      </c>
      <c r="CP106" s="16" t="b">
        <f>C106=GovRev!C106</f>
        <v>1</v>
      </c>
    </row>
    <row r="107" spans="1:94" s="16" customFormat="1">
      <c r="A107" s="3" t="s">
        <v>185</v>
      </c>
      <c r="C107" s="16" t="s">
        <v>186</v>
      </c>
      <c r="E107" s="16">
        <v>125252</v>
      </c>
      <c r="G107" s="3">
        <v>91803</v>
      </c>
      <c r="H107" s="3"/>
      <c r="I107" s="3">
        <v>3631940</v>
      </c>
      <c r="J107" s="3"/>
      <c r="K107" s="3">
        <v>0</v>
      </c>
      <c r="L107" s="3"/>
      <c r="M107" s="32">
        <v>0</v>
      </c>
      <c r="N107" s="3"/>
      <c r="O107" s="3">
        <v>13000</v>
      </c>
      <c r="P107" s="3"/>
      <c r="Q107" s="3">
        <v>2000501</v>
      </c>
      <c r="R107" s="3"/>
      <c r="S107" s="3">
        <v>3931158</v>
      </c>
      <c r="T107" s="3"/>
      <c r="U107" s="3">
        <v>38121</v>
      </c>
      <c r="V107" s="3"/>
      <c r="W107" s="3">
        <v>732894</v>
      </c>
      <c r="X107" s="3"/>
      <c r="Y107" s="3">
        <v>298411</v>
      </c>
      <c r="Z107" s="3"/>
      <c r="AA107" s="3">
        <v>0</v>
      </c>
      <c r="AB107" s="3"/>
      <c r="AC107" s="3">
        <v>56694</v>
      </c>
      <c r="AD107" s="3"/>
      <c r="AE107" s="3" t="s">
        <v>185</v>
      </c>
      <c r="AG107" s="16" t="s">
        <v>186</v>
      </c>
      <c r="AH107" s="3"/>
      <c r="AI107" s="3">
        <v>14938</v>
      </c>
      <c r="AJ107" s="3"/>
      <c r="AK107" s="3">
        <v>447213</v>
      </c>
      <c r="AL107" s="3"/>
      <c r="AM107" s="3">
        <v>0</v>
      </c>
      <c r="AN107" s="3"/>
      <c r="AO107" s="3">
        <v>0</v>
      </c>
      <c r="AP107" s="3"/>
      <c r="AQ107" s="3">
        <v>63444</v>
      </c>
      <c r="AR107" s="3"/>
      <c r="AS107" s="3">
        <v>19561</v>
      </c>
      <c r="AT107" s="3"/>
      <c r="AU107" s="3">
        <v>0</v>
      </c>
      <c r="AV107" s="3"/>
      <c r="AW107" s="3">
        <v>0</v>
      </c>
      <c r="AX107" s="3"/>
      <c r="AY107" s="3">
        <v>0</v>
      </c>
      <c r="AZ107" s="3"/>
      <c r="BA107" s="3">
        <v>0</v>
      </c>
      <c r="BB107" s="3"/>
      <c r="BC107" s="3">
        <v>0</v>
      </c>
      <c r="BD107" s="3"/>
      <c r="BE107" s="17">
        <f t="shared" si="13"/>
        <v>11339678</v>
      </c>
      <c r="BF107" s="3" t="s">
        <v>185</v>
      </c>
      <c r="BH107" s="16" t="s">
        <v>186</v>
      </c>
      <c r="BI107" s="3"/>
      <c r="BJ107" s="3">
        <v>0</v>
      </c>
      <c r="BK107" s="3"/>
      <c r="BL107" s="3">
        <v>0</v>
      </c>
      <c r="BM107" s="3"/>
      <c r="BN107" s="3">
        <v>0</v>
      </c>
      <c r="BO107" s="3"/>
      <c r="BP107" s="3">
        <v>0</v>
      </c>
      <c r="BQ107" s="3"/>
      <c r="BR107" s="17">
        <f t="shared" si="10"/>
        <v>11339678</v>
      </c>
      <c r="BS107" s="3"/>
      <c r="BT107" s="17">
        <f>GovRev!AV107-BR107</f>
        <v>-89570</v>
      </c>
      <c r="BU107" s="3"/>
      <c r="BV107" s="3">
        <v>2787651</v>
      </c>
      <c r="BW107" s="3"/>
      <c r="BX107" s="3">
        <v>0</v>
      </c>
      <c r="BY107" s="3"/>
      <c r="BZ107" s="17">
        <f t="shared" si="22"/>
        <v>2698081</v>
      </c>
      <c r="CA107" s="17"/>
      <c r="CB107" s="17">
        <f>-BZ107+GovBS!AE107</f>
        <v>0</v>
      </c>
      <c r="CE107" s="3"/>
      <c r="CF107" s="3" t="str">
        <f t="shared" si="19"/>
        <v>Muskingum Valley Educ Srv Ctr</v>
      </c>
      <c r="CG107" s="3" t="b">
        <f t="shared" si="14"/>
        <v>1</v>
      </c>
      <c r="CH107" s="3" t="b">
        <f t="shared" si="15"/>
        <v>1</v>
      </c>
      <c r="CI107" s="20" t="str">
        <f>GovRev!A107</f>
        <v>Muskingum Valley Educ Srv Ctr</v>
      </c>
      <c r="CJ107" s="20" t="b">
        <f t="shared" si="23"/>
        <v>1</v>
      </c>
      <c r="CL107" s="20" t="str">
        <f t="shared" si="16"/>
        <v>Muskingum</v>
      </c>
      <c r="CM107" s="20" t="b">
        <f t="shared" si="17"/>
        <v>1</v>
      </c>
      <c r="CN107" s="20" t="b">
        <f t="shared" si="18"/>
        <v>1</v>
      </c>
      <c r="CP107" s="16" t="b">
        <f>C107=GovRev!C107</f>
        <v>1</v>
      </c>
    </row>
    <row r="108" spans="1:94" s="16" customFormat="1">
      <c r="A108" s="3" t="s">
        <v>277</v>
      </c>
      <c r="C108" s="16" t="s">
        <v>197</v>
      </c>
      <c r="E108" s="16">
        <v>123257</v>
      </c>
      <c r="G108" s="3">
        <v>953861</v>
      </c>
      <c r="H108" s="3"/>
      <c r="I108" s="3">
        <v>6018249</v>
      </c>
      <c r="J108" s="3"/>
      <c r="K108" s="3">
        <v>0</v>
      </c>
      <c r="L108" s="3"/>
      <c r="M108" s="32">
        <v>0</v>
      </c>
      <c r="N108" s="3"/>
      <c r="O108" s="3">
        <v>16759</v>
      </c>
      <c r="P108" s="3"/>
      <c r="Q108" s="3">
        <v>4424163</v>
      </c>
      <c r="R108" s="3"/>
      <c r="S108" s="3">
        <v>3639360</v>
      </c>
      <c r="T108" s="3"/>
      <c r="U108" s="3">
        <v>66677</v>
      </c>
      <c r="V108" s="3"/>
      <c r="W108" s="3">
        <v>1628421</v>
      </c>
      <c r="X108" s="3"/>
      <c r="Y108" s="3">
        <v>608444</v>
      </c>
      <c r="Z108" s="3"/>
      <c r="AA108" s="3">
        <v>170672</v>
      </c>
      <c r="AB108" s="3"/>
      <c r="AC108" s="3">
        <v>528523</v>
      </c>
      <c r="AD108" s="3"/>
      <c r="AE108" s="3" t="s">
        <v>277</v>
      </c>
      <c r="AG108" s="16" t="s">
        <v>197</v>
      </c>
      <c r="AH108" s="3"/>
      <c r="AI108" s="3">
        <v>147436</v>
      </c>
      <c r="AJ108" s="3"/>
      <c r="AK108" s="3">
        <v>697842</v>
      </c>
      <c r="AL108" s="3"/>
      <c r="AM108" s="3">
        <v>0</v>
      </c>
      <c r="AN108" s="3"/>
      <c r="AO108" s="3">
        <v>47661</v>
      </c>
      <c r="AP108" s="3"/>
      <c r="AQ108" s="3">
        <v>130017</v>
      </c>
      <c r="AR108" s="3"/>
      <c r="AS108" s="3">
        <v>1410</v>
      </c>
      <c r="AT108" s="3"/>
      <c r="AU108" s="3">
        <v>4030424</v>
      </c>
      <c r="AV108" s="3"/>
      <c r="AW108" s="3">
        <v>0</v>
      </c>
      <c r="AX108" s="3"/>
      <c r="AY108" s="3">
        <v>0</v>
      </c>
      <c r="AZ108" s="3"/>
      <c r="BA108" s="3">
        <v>72115</v>
      </c>
      <c r="BB108" s="3"/>
      <c r="BC108" s="3">
        <v>0</v>
      </c>
      <c r="BD108" s="3"/>
      <c r="BE108" s="17">
        <f t="shared" si="13"/>
        <v>23182034</v>
      </c>
      <c r="BF108" s="3" t="s">
        <v>277</v>
      </c>
      <c r="BH108" s="16" t="s">
        <v>197</v>
      </c>
      <c r="BI108" s="3"/>
      <c r="BJ108" s="3">
        <v>78697</v>
      </c>
      <c r="BK108" s="3"/>
      <c r="BL108" s="3">
        <v>0</v>
      </c>
      <c r="BM108" s="3"/>
      <c r="BN108" s="3">
        <v>0</v>
      </c>
      <c r="BO108" s="3"/>
      <c r="BP108" s="3">
        <v>0</v>
      </c>
      <c r="BQ108" s="3"/>
      <c r="BR108" s="17">
        <f t="shared" si="10"/>
        <v>23260731</v>
      </c>
      <c r="BS108" s="3"/>
      <c r="BT108" s="17">
        <f>GovRev!AV108-BR108</f>
        <v>-551979</v>
      </c>
      <c r="BU108" s="3"/>
      <c r="BV108" s="3">
        <v>1359758</v>
      </c>
      <c r="BW108" s="3"/>
      <c r="BX108" s="3">
        <v>0</v>
      </c>
      <c r="BY108" s="3"/>
      <c r="BZ108" s="17">
        <f t="shared" si="22"/>
        <v>807779</v>
      </c>
      <c r="CA108" s="17"/>
      <c r="CB108" s="17">
        <f>-BZ108+GovBS!AE108</f>
        <v>0</v>
      </c>
      <c r="CE108" s="3"/>
      <c r="CF108" s="3" t="str">
        <f t="shared" si="19"/>
        <v>North Central Ohio Educ Srv Ctr</v>
      </c>
      <c r="CG108" s="3" t="b">
        <f t="shared" si="14"/>
        <v>1</v>
      </c>
      <c r="CH108" s="3" t="b">
        <f t="shared" si="15"/>
        <v>1</v>
      </c>
      <c r="CI108" s="20" t="str">
        <f>GovRev!A108</f>
        <v>North Central Ohio Educ Srv Ctr</v>
      </c>
      <c r="CJ108" s="20" t="b">
        <f t="shared" si="23"/>
        <v>1</v>
      </c>
      <c r="CL108" s="20" t="str">
        <f t="shared" si="16"/>
        <v>Seneca</v>
      </c>
      <c r="CM108" s="20" t="b">
        <f t="shared" si="17"/>
        <v>1</v>
      </c>
      <c r="CN108" s="20" t="b">
        <f t="shared" si="18"/>
        <v>1</v>
      </c>
      <c r="CP108" s="16" t="b">
        <f>C108=GovRev!C108</f>
        <v>1</v>
      </c>
    </row>
    <row r="109" spans="1:94" s="16" customFormat="1">
      <c r="A109" s="16" t="s">
        <v>340</v>
      </c>
      <c r="C109" s="16" t="s">
        <v>163</v>
      </c>
      <c r="G109" s="3">
        <v>382635</v>
      </c>
      <c r="H109" s="3"/>
      <c r="I109" s="3">
        <v>5665485</v>
      </c>
      <c r="J109" s="3"/>
      <c r="K109" s="3">
        <v>0</v>
      </c>
      <c r="L109" s="3"/>
      <c r="M109" s="32">
        <v>0</v>
      </c>
      <c r="N109" s="3"/>
      <c r="O109" s="3">
        <v>0</v>
      </c>
      <c r="P109" s="3"/>
      <c r="Q109" s="3">
        <v>5322818</v>
      </c>
      <c r="R109" s="3"/>
      <c r="S109" s="3">
        <v>7212701</v>
      </c>
      <c r="T109" s="3"/>
      <c r="U109" s="3">
        <v>101311</v>
      </c>
      <c r="V109" s="3"/>
      <c r="W109" s="3">
        <v>421744</v>
      </c>
      <c r="X109" s="3"/>
      <c r="Y109" s="3">
        <v>385608</v>
      </c>
      <c r="Z109" s="3"/>
      <c r="AA109" s="3">
        <v>178732</v>
      </c>
      <c r="AB109" s="3"/>
      <c r="AC109" s="3">
        <v>364058</v>
      </c>
      <c r="AD109" s="3"/>
      <c r="AE109" s="16" t="s">
        <v>340</v>
      </c>
      <c r="AG109" s="16" t="s">
        <v>163</v>
      </c>
      <c r="AH109" s="3"/>
      <c r="AI109" s="3">
        <v>0</v>
      </c>
      <c r="AJ109" s="3"/>
      <c r="AK109" s="3">
        <v>64683</v>
      </c>
      <c r="AL109" s="3"/>
      <c r="AM109" s="3">
        <v>0</v>
      </c>
      <c r="AN109" s="3"/>
      <c r="AO109" s="3">
        <v>0</v>
      </c>
      <c r="AP109" s="3"/>
      <c r="AQ109" s="3">
        <v>97529</v>
      </c>
      <c r="AR109" s="3"/>
      <c r="AS109" s="3">
        <v>23055</v>
      </c>
      <c r="AT109" s="3"/>
      <c r="AU109" s="3">
        <v>134094</v>
      </c>
      <c r="AV109" s="3"/>
      <c r="AW109" s="3">
        <v>0</v>
      </c>
      <c r="AX109" s="3"/>
      <c r="AY109" s="3">
        <v>0</v>
      </c>
      <c r="AZ109" s="3"/>
      <c r="BA109" s="3">
        <v>0</v>
      </c>
      <c r="BB109" s="3"/>
      <c r="BC109" s="3">
        <v>0</v>
      </c>
      <c r="BD109" s="3"/>
      <c r="BE109" s="17">
        <f t="shared" si="13"/>
        <v>20354453</v>
      </c>
      <c r="BF109" s="16" t="s">
        <v>340</v>
      </c>
      <c r="BH109" s="16" t="s">
        <v>163</v>
      </c>
      <c r="BI109" s="3"/>
      <c r="BJ109" s="3">
        <v>8297</v>
      </c>
      <c r="BK109" s="3"/>
      <c r="BL109" s="3">
        <v>0</v>
      </c>
      <c r="BM109" s="3"/>
      <c r="BN109" s="3">
        <v>0</v>
      </c>
      <c r="BO109" s="3"/>
      <c r="BP109" s="3">
        <v>0</v>
      </c>
      <c r="BQ109" s="3"/>
      <c r="BR109" s="17">
        <f t="shared" ref="BR109" si="24">+BE109+BJ109+BL109+BP109+BN109</f>
        <v>20362750</v>
      </c>
      <c r="BS109" s="3"/>
      <c r="BT109" s="17">
        <f>GovRev!AV109-BR109</f>
        <v>-322150</v>
      </c>
      <c r="BU109" s="3"/>
      <c r="BV109" s="3">
        <v>5560678</v>
      </c>
      <c r="BW109" s="3"/>
      <c r="BX109" s="3">
        <v>0</v>
      </c>
      <c r="BY109" s="3"/>
      <c r="BZ109" s="17">
        <f t="shared" ref="BZ109" si="25">+BV109+BT109+BX109</f>
        <v>5238528</v>
      </c>
      <c r="CA109" s="17"/>
      <c r="CB109" s="17">
        <f>-BZ109+GovBS!AE109</f>
        <v>0</v>
      </c>
      <c r="CE109" s="3"/>
      <c r="CF109" s="3" t="str">
        <f t="shared" si="19"/>
        <v>North Point Educ Srv Ctr</v>
      </c>
      <c r="CG109" s="3" t="b">
        <f t="shared" si="14"/>
        <v>1</v>
      </c>
      <c r="CH109" s="3" t="b">
        <f t="shared" si="15"/>
        <v>1</v>
      </c>
      <c r="CI109" s="20" t="str">
        <f>GovRev!A109</f>
        <v>North Point Educ Srv Ctr</v>
      </c>
      <c r="CJ109" s="20" t="b">
        <f t="shared" si="23"/>
        <v>1</v>
      </c>
      <c r="CL109" s="20" t="str">
        <f t="shared" si="16"/>
        <v>Erie</v>
      </c>
      <c r="CM109" s="20" t="b">
        <f t="shared" si="17"/>
        <v>1</v>
      </c>
      <c r="CN109" s="20" t="b">
        <f t="shared" si="18"/>
        <v>1</v>
      </c>
      <c r="CP109" s="16" t="b">
        <f>C109=GovRev!C109</f>
        <v>1</v>
      </c>
    </row>
    <row r="110" spans="1:94" s="16" customFormat="1">
      <c r="A110" s="3" t="s">
        <v>166</v>
      </c>
      <c r="C110" s="3" t="s">
        <v>399</v>
      </c>
      <c r="E110" s="16">
        <v>124297</v>
      </c>
      <c r="G110" s="3">
        <v>1442932</v>
      </c>
      <c r="H110" s="3"/>
      <c r="I110" s="3">
        <v>6222082</v>
      </c>
      <c r="J110" s="3"/>
      <c r="K110" s="3">
        <v>0</v>
      </c>
      <c r="L110" s="3"/>
      <c r="M110" s="32">
        <v>0</v>
      </c>
      <c r="N110" s="3"/>
      <c r="O110" s="3">
        <v>0</v>
      </c>
      <c r="P110" s="3"/>
      <c r="Q110" s="3">
        <v>4861848</v>
      </c>
      <c r="R110" s="3"/>
      <c r="S110" s="3">
        <v>7516535</v>
      </c>
      <c r="T110" s="3"/>
      <c r="U110" s="3">
        <v>97554</v>
      </c>
      <c r="V110" s="3"/>
      <c r="W110" s="3">
        <v>734786</v>
      </c>
      <c r="X110" s="3"/>
      <c r="Y110" s="3">
        <v>433741</v>
      </c>
      <c r="Z110" s="3"/>
      <c r="AA110" s="3">
        <v>67972</v>
      </c>
      <c r="AB110" s="3"/>
      <c r="AC110" s="3">
        <v>529541</v>
      </c>
      <c r="AD110" s="3"/>
      <c r="AE110" s="3" t="s">
        <v>166</v>
      </c>
      <c r="AG110" s="3" t="s">
        <v>399</v>
      </c>
      <c r="AH110" s="3"/>
      <c r="AI110" s="3">
        <v>242147</v>
      </c>
      <c r="AJ110" s="3"/>
      <c r="AK110" s="3">
        <v>154422</v>
      </c>
      <c r="AL110" s="3"/>
      <c r="AM110" s="3">
        <v>0</v>
      </c>
      <c r="AN110" s="3"/>
      <c r="AO110" s="3">
        <v>0</v>
      </c>
      <c r="AP110" s="3"/>
      <c r="AQ110" s="3">
        <v>49858</v>
      </c>
      <c r="AR110" s="3"/>
      <c r="AS110" s="3">
        <v>0</v>
      </c>
      <c r="AT110" s="3"/>
      <c r="AU110" s="3">
        <v>5842425</v>
      </c>
      <c r="AV110" s="3"/>
      <c r="AW110" s="3">
        <v>3690108</v>
      </c>
      <c r="AX110" s="3"/>
      <c r="AY110" s="3">
        <v>131356</v>
      </c>
      <c r="AZ110" s="3"/>
      <c r="BA110" s="3">
        <v>31392</v>
      </c>
      <c r="BB110" s="3"/>
      <c r="BC110" s="3">
        <v>0</v>
      </c>
      <c r="BD110" s="3"/>
      <c r="BE110" s="17">
        <f t="shared" si="13"/>
        <v>32048699</v>
      </c>
      <c r="BF110" s="3" t="s">
        <v>166</v>
      </c>
      <c r="BH110" s="3" t="s">
        <v>399</v>
      </c>
      <c r="BI110" s="3"/>
      <c r="BJ110" s="3">
        <v>20000</v>
      </c>
      <c r="BK110" s="3"/>
      <c r="BL110" s="3">
        <v>0</v>
      </c>
      <c r="BM110" s="3"/>
      <c r="BN110" s="3">
        <v>0</v>
      </c>
      <c r="BO110" s="3"/>
      <c r="BP110" s="3">
        <v>0</v>
      </c>
      <c r="BQ110" s="3"/>
      <c r="BR110" s="17">
        <f t="shared" si="10"/>
        <v>32068699</v>
      </c>
      <c r="BS110" s="3"/>
      <c r="BT110" s="17">
        <f>GovRev!AV110-BR110</f>
        <v>-4687248</v>
      </c>
      <c r="BU110" s="3"/>
      <c r="BV110" s="3">
        <v>6051903</v>
      </c>
      <c r="BW110" s="3"/>
      <c r="BX110" s="3">
        <v>0</v>
      </c>
      <c r="BY110" s="3"/>
      <c r="BZ110" s="17">
        <f t="shared" si="22"/>
        <v>1364655</v>
      </c>
      <c r="CA110" s="17"/>
      <c r="CB110" s="17">
        <f>-BZ110+GovBS!AE110</f>
        <v>0</v>
      </c>
      <c r="CE110" s="3" t="s">
        <v>400</v>
      </c>
      <c r="CF110" s="3" t="str">
        <f t="shared" si="19"/>
        <v>Northwest Ohio Educ Srv Ctr</v>
      </c>
      <c r="CG110" s="3" t="b">
        <f t="shared" si="14"/>
        <v>1</v>
      </c>
      <c r="CH110" s="3" t="b">
        <f t="shared" si="15"/>
        <v>1</v>
      </c>
      <c r="CI110" s="20" t="str">
        <f>GovRev!A110</f>
        <v>Northwest Ohio Educ Srv Ctr</v>
      </c>
      <c r="CJ110" s="20" t="b">
        <f t="shared" si="23"/>
        <v>1</v>
      </c>
      <c r="CL110" s="20" t="str">
        <f t="shared" si="16"/>
        <v>Fulton</v>
      </c>
      <c r="CM110" s="20" t="b">
        <f t="shared" si="17"/>
        <v>1</v>
      </c>
      <c r="CN110" s="20" t="b">
        <f t="shared" si="18"/>
        <v>1</v>
      </c>
      <c r="CP110" s="16" t="b">
        <f>C110=GovRev!C110</f>
        <v>1</v>
      </c>
    </row>
    <row r="111" spans="1:94" s="16" customFormat="1">
      <c r="A111" s="3" t="s">
        <v>364</v>
      </c>
      <c r="C111" s="3" t="s">
        <v>271</v>
      </c>
      <c r="E111" s="16">
        <v>123521</v>
      </c>
      <c r="G111" s="3">
        <v>221422</v>
      </c>
      <c r="H111" s="3"/>
      <c r="I111" s="3">
        <v>2370310</v>
      </c>
      <c r="J111" s="3"/>
      <c r="K111" s="3">
        <v>0</v>
      </c>
      <c r="L111" s="3"/>
      <c r="M111" s="32">
        <v>42735</v>
      </c>
      <c r="N111" s="3"/>
      <c r="O111" s="3">
        <v>0</v>
      </c>
      <c r="P111" s="3"/>
      <c r="Q111" s="3">
        <v>1748929</v>
      </c>
      <c r="R111" s="3"/>
      <c r="S111" s="3">
        <v>2534128</v>
      </c>
      <c r="T111" s="3"/>
      <c r="U111" s="3">
        <v>39557</v>
      </c>
      <c r="V111" s="3"/>
      <c r="W111" s="3">
        <v>796982</v>
      </c>
      <c r="X111" s="3"/>
      <c r="Y111" s="3">
        <v>237478</v>
      </c>
      <c r="Z111" s="3"/>
      <c r="AA111" s="3">
        <v>0</v>
      </c>
      <c r="AB111" s="3"/>
      <c r="AC111" s="3">
        <v>101945</v>
      </c>
      <c r="AD111" s="3"/>
      <c r="AE111" s="3" t="s">
        <v>364</v>
      </c>
      <c r="AG111" s="3" t="s">
        <v>271</v>
      </c>
      <c r="AH111" s="3"/>
      <c r="AI111" s="3">
        <v>14650</v>
      </c>
      <c r="AJ111" s="3"/>
      <c r="AK111" s="3">
        <v>31398</v>
      </c>
      <c r="AL111" s="3"/>
      <c r="AM111" s="3">
        <v>0</v>
      </c>
      <c r="AN111" s="3"/>
      <c r="AO111" s="3">
        <v>0</v>
      </c>
      <c r="AP111" s="3"/>
      <c r="AQ111" s="3">
        <v>2862</v>
      </c>
      <c r="AR111" s="3"/>
      <c r="AS111" s="3">
        <v>48779</v>
      </c>
      <c r="AT111" s="3"/>
      <c r="AU111" s="3">
        <v>441</v>
      </c>
      <c r="AV111" s="3"/>
      <c r="AW111" s="3">
        <v>149700</v>
      </c>
      <c r="AX111" s="3"/>
      <c r="AY111" s="3">
        <v>262628</v>
      </c>
      <c r="AZ111" s="3"/>
      <c r="BA111" s="3">
        <v>14374</v>
      </c>
      <c r="BB111" s="3"/>
      <c r="BC111" s="3">
        <v>0</v>
      </c>
      <c r="BD111" s="3"/>
      <c r="BE111" s="17">
        <f t="shared" si="13"/>
        <v>8618318</v>
      </c>
      <c r="BF111" s="3" t="s">
        <v>364</v>
      </c>
      <c r="BH111" s="3" t="s">
        <v>271</v>
      </c>
      <c r="BI111" s="3"/>
      <c r="BJ111" s="3">
        <v>297208</v>
      </c>
      <c r="BK111" s="3"/>
      <c r="BL111" s="3">
        <v>0</v>
      </c>
      <c r="BM111" s="3"/>
      <c r="BN111" s="3">
        <v>0</v>
      </c>
      <c r="BO111" s="3"/>
      <c r="BP111" s="3">
        <v>0</v>
      </c>
      <c r="BQ111" s="3"/>
      <c r="BR111" s="17">
        <f t="shared" si="10"/>
        <v>8915526</v>
      </c>
      <c r="BS111" s="3"/>
      <c r="BT111" s="17">
        <f>GovRev!AV111-BR111</f>
        <v>173575</v>
      </c>
      <c r="BU111" s="3"/>
      <c r="BV111" s="3">
        <v>1122922</v>
      </c>
      <c r="BW111" s="3"/>
      <c r="BX111" s="3">
        <v>0</v>
      </c>
      <c r="BY111" s="3"/>
      <c r="BZ111" s="17">
        <f t="shared" si="22"/>
        <v>1296497</v>
      </c>
      <c r="CA111" s="17"/>
      <c r="CB111" s="17">
        <f>-BZ111+GovBS!AE111</f>
        <v>0</v>
      </c>
      <c r="CE111" s="3"/>
      <c r="CF111" s="3" t="str">
        <f t="shared" si="19"/>
        <v>Ohio Valley Educ Srv Ctr</v>
      </c>
      <c r="CG111" s="3" t="b">
        <f t="shared" si="14"/>
        <v>1</v>
      </c>
      <c r="CH111" s="3" t="b">
        <f t="shared" si="15"/>
        <v>1</v>
      </c>
      <c r="CI111" s="20" t="str">
        <f>GovRev!A111</f>
        <v>Ohio Valley Educ Srv Ctr</v>
      </c>
      <c r="CJ111" s="20" t="b">
        <f t="shared" si="23"/>
        <v>1</v>
      </c>
      <c r="CL111" s="20" t="str">
        <f t="shared" si="16"/>
        <v>Guernsey</v>
      </c>
      <c r="CM111" s="20" t="b">
        <f t="shared" si="17"/>
        <v>1</v>
      </c>
      <c r="CN111" s="20" t="b">
        <f t="shared" si="18"/>
        <v>1</v>
      </c>
      <c r="CP111" s="16" t="b">
        <f>C111=GovRev!C111</f>
        <v>1</v>
      </c>
    </row>
    <row r="112" spans="1:94" s="16" customFormat="1">
      <c r="A112" s="3" t="s">
        <v>187</v>
      </c>
      <c r="C112" s="16" t="s">
        <v>188</v>
      </c>
      <c r="E112" s="16">
        <v>125674</v>
      </c>
      <c r="G112" s="3">
        <v>730714</v>
      </c>
      <c r="H112" s="3"/>
      <c r="I112" s="3">
        <v>875688</v>
      </c>
      <c r="J112" s="3"/>
      <c r="K112" s="3">
        <v>0</v>
      </c>
      <c r="L112" s="3"/>
      <c r="M112" s="32">
        <v>31909</v>
      </c>
      <c r="N112" s="3"/>
      <c r="O112" s="3">
        <v>191523</v>
      </c>
      <c r="P112" s="3"/>
      <c r="Q112" s="3">
        <v>1639623</v>
      </c>
      <c r="R112" s="3"/>
      <c r="S112" s="3">
        <v>1673918</v>
      </c>
      <c r="T112" s="3"/>
      <c r="U112" s="3">
        <v>30955</v>
      </c>
      <c r="V112" s="3"/>
      <c r="W112" s="3">
        <v>485379</v>
      </c>
      <c r="X112" s="3"/>
      <c r="Y112" s="3">
        <v>236573</v>
      </c>
      <c r="Z112" s="3"/>
      <c r="AA112" s="3">
        <v>0</v>
      </c>
      <c r="AB112" s="3"/>
      <c r="AC112" s="3">
        <v>142797</v>
      </c>
      <c r="AD112" s="3"/>
      <c r="AE112" s="3" t="s">
        <v>187</v>
      </c>
      <c r="AG112" s="16" t="s">
        <v>188</v>
      </c>
      <c r="AH112" s="3"/>
      <c r="AI112" s="3">
        <v>28783</v>
      </c>
      <c r="AJ112" s="3"/>
      <c r="AK112" s="3">
        <v>128849</v>
      </c>
      <c r="AL112" s="3"/>
      <c r="AM112" s="3">
        <v>0</v>
      </c>
      <c r="AN112" s="3"/>
      <c r="AO112" s="3">
        <v>0</v>
      </c>
      <c r="AP112" s="3"/>
      <c r="AQ112" s="3">
        <v>58291</v>
      </c>
      <c r="AR112" s="3"/>
      <c r="AS112" s="3">
        <v>3875</v>
      </c>
      <c r="AT112" s="3"/>
      <c r="AU112" s="3">
        <v>1543</v>
      </c>
      <c r="AV112" s="3"/>
      <c r="AW112" s="3">
        <v>0</v>
      </c>
      <c r="AX112" s="3"/>
      <c r="AY112" s="3">
        <v>13191</v>
      </c>
      <c r="AZ112" s="3"/>
      <c r="BA112" s="3">
        <v>2852</v>
      </c>
      <c r="BB112" s="3"/>
      <c r="BC112" s="3">
        <v>0</v>
      </c>
      <c r="BD112" s="3"/>
      <c r="BE112" s="17">
        <f t="shared" si="13"/>
        <v>6276463</v>
      </c>
      <c r="BF112" s="3" t="s">
        <v>187</v>
      </c>
      <c r="BH112" s="16" t="s">
        <v>188</v>
      </c>
      <c r="BI112" s="3"/>
      <c r="BJ112" s="3">
        <v>0</v>
      </c>
      <c r="BK112" s="3"/>
      <c r="BL112" s="3">
        <v>0</v>
      </c>
      <c r="BM112" s="3"/>
      <c r="BN112" s="3">
        <v>0</v>
      </c>
      <c r="BO112" s="3"/>
      <c r="BP112" s="3">
        <v>0</v>
      </c>
      <c r="BQ112" s="3"/>
      <c r="BR112" s="17">
        <f t="shared" si="10"/>
        <v>6276463</v>
      </c>
      <c r="BS112" s="3"/>
      <c r="BT112" s="17">
        <f>GovRev!AV112-BR112</f>
        <v>218368</v>
      </c>
      <c r="BU112" s="3"/>
      <c r="BV112" s="3">
        <v>61496</v>
      </c>
      <c r="BW112" s="3"/>
      <c r="BX112" s="3">
        <v>0</v>
      </c>
      <c r="BY112" s="3"/>
      <c r="BZ112" s="17">
        <f t="shared" si="22"/>
        <v>279864</v>
      </c>
      <c r="CA112" s="17"/>
      <c r="CB112" s="17">
        <f>-BZ112+GovBS!AE112</f>
        <v>0</v>
      </c>
      <c r="CE112" s="3" t="s">
        <v>406</v>
      </c>
      <c r="CF112" s="3" t="str">
        <f t="shared" si="19"/>
        <v>Perry-Hocking Educ Srv Ctr</v>
      </c>
      <c r="CG112" s="3" t="b">
        <f t="shared" si="14"/>
        <v>1</v>
      </c>
      <c r="CH112" s="3" t="b">
        <f t="shared" si="15"/>
        <v>1</v>
      </c>
      <c r="CI112" s="20" t="str">
        <f>GovRev!A112</f>
        <v>Perry-Hocking Educ Srv Ctr</v>
      </c>
      <c r="CJ112" s="20" t="b">
        <f t="shared" si="23"/>
        <v>1</v>
      </c>
      <c r="CL112" s="20" t="str">
        <f t="shared" si="16"/>
        <v>Perry</v>
      </c>
      <c r="CM112" s="20" t="b">
        <f t="shared" si="17"/>
        <v>1</v>
      </c>
      <c r="CN112" s="20" t="b">
        <f t="shared" si="18"/>
        <v>1</v>
      </c>
      <c r="CP112" s="16" t="b">
        <f>C112=GovRev!C112</f>
        <v>1</v>
      </c>
    </row>
    <row r="113" spans="1:94" s="16" customFormat="1">
      <c r="A113" s="3" t="s">
        <v>421</v>
      </c>
      <c r="C113" s="16" t="s">
        <v>189</v>
      </c>
      <c r="E113" s="16">
        <v>49072</v>
      </c>
      <c r="G113" s="3">
        <v>89071</v>
      </c>
      <c r="H113" s="3"/>
      <c r="I113" s="3">
        <v>290070</v>
      </c>
      <c r="J113" s="3"/>
      <c r="K113" s="3">
        <v>0</v>
      </c>
      <c r="L113" s="3"/>
      <c r="M113" s="32">
        <v>62434</v>
      </c>
      <c r="N113" s="3"/>
      <c r="O113" s="3">
        <v>49898</v>
      </c>
      <c r="P113" s="3"/>
      <c r="Q113" s="3">
        <v>1967344</v>
      </c>
      <c r="R113" s="3"/>
      <c r="S113" s="3">
        <v>669618</v>
      </c>
      <c r="T113" s="3"/>
      <c r="U113" s="3">
        <v>42104</v>
      </c>
      <c r="V113" s="3"/>
      <c r="W113" s="3">
        <v>248846</v>
      </c>
      <c r="X113" s="3"/>
      <c r="Y113" s="3">
        <v>154004</v>
      </c>
      <c r="Z113" s="3"/>
      <c r="AA113" s="3">
        <v>21128</v>
      </c>
      <c r="AB113" s="3"/>
      <c r="AC113" s="3">
        <v>105741</v>
      </c>
      <c r="AD113" s="3"/>
      <c r="AE113" s="3" t="s">
        <v>421</v>
      </c>
      <c r="AG113" s="16" t="s">
        <v>189</v>
      </c>
      <c r="AH113" s="3"/>
      <c r="AI113" s="3">
        <v>162976</v>
      </c>
      <c r="AJ113" s="3"/>
      <c r="AK113" s="3">
        <v>161683</v>
      </c>
      <c r="AL113" s="3"/>
      <c r="AM113" s="3">
        <v>0</v>
      </c>
      <c r="AN113" s="3"/>
      <c r="AO113" s="3">
        <v>0</v>
      </c>
      <c r="AP113" s="3"/>
      <c r="AQ113" s="3">
        <v>7700</v>
      </c>
      <c r="AR113" s="3"/>
      <c r="AS113" s="3">
        <v>0</v>
      </c>
      <c r="AT113" s="3"/>
      <c r="AU113" s="3">
        <v>0</v>
      </c>
      <c r="AV113" s="3"/>
      <c r="AW113" s="3">
        <v>0</v>
      </c>
      <c r="AX113" s="3"/>
      <c r="AY113" s="3">
        <v>0</v>
      </c>
      <c r="AZ113" s="3"/>
      <c r="BA113" s="3">
        <v>0</v>
      </c>
      <c r="BB113" s="3"/>
      <c r="BC113" s="3">
        <v>0</v>
      </c>
      <c r="BD113" s="3"/>
      <c r="BE113" s="17">
        <f t="shared" si="13"/>
        <v>4032617</v>
      </c>
      <c r="BF113" s="3" t="s">
        <v>421</v>
      </c>
      <c r="BH113" s="16" t="s">
        <v>189</v>
      </c>
      <c r="BI113" s="3"/>
      <c r="BJ113" s="3">
        <v>619</v>
      </c>
      <c r="BK113" s="3"/>
      <c r="BL113" s="3">
        <v>0</v>
      </c>
      <c r="BM113" s="3"/>
      <c r="BN113" s="3">
        <v>0</v>
      </c>
      <c r="BO113" s="3"/>
      <c r="BP113" s="3">
        <v>0</v>
      </c>
      <c r="BQ113" s="3"/>
      <c r="BR113" s="17">
        <f t="shared" ref="BR113:BR130" si="26">+BE113+BJ113+BL113+BP113+BN113</f>
        <v>4033236</v>
      </c>
      <c r="BS113" s="3"/>
      <c r="BT113" s="17">
        <f>GovRev!AV113-BR113</f>
        <v>118734</v>
      </c>
      <c r="BU113" s="3"/>
      <c r="BV113" s="3">
        <v>416944</v>
      </c>
      <c r="BW113" s="3"/>
      <c r="BX113" s="3">
        <v>0</v>
      </c>
      <c r="BY113" s="3"/>
      <c r="BZ113" s="17">
        <f t="shared" si="22"/>
        <v>535678</v>
      </c>
      <c r="CA113" s="17"/>
      <c r="CB113" s="17">
        <f>-BZ113+GovBS!AE113</f>
        <v>0</v>
      </c>
      <c r="CE113" s="32"/>
      <c r="CF113" s="3" t="str">
        <f t="shared" si="19"/>
        <v>Pickaway County Educ Srv Ctr</v>
      </c>
      <c r="CG113" s="3" t="b">
        <f t="shared" si="14"/>
        <v>1</v>
      </c>
      <c r="CH113" s="3" t="b">
        <f t="shared" si="15"/>
        <v>1</v>
      </c>
      <c r="CI113" s="20" t="str">
        <f>GovRev!A113</f>
        <v>Pickaway County Educ Srv Ctr</v>
      </c>
      <c r="CJ113" s="20" t="b">
        <f t="shared" si="23"/>
        <v>1</v>
      </c>
      <c r="CL113" s="20" t="str">
        <f t="shared" si="16"/>
        <v>Pickaway</v>
      </c>
      <c r="CM113" s="20" t="b">
        <f t="shared" si="17"/>
        <v>1</v>
      </c>
      <c r="CN113" s="20" t="b">
        <f t="shared" si="18"/>
        <v>1</v>
      </c>
      <c r="CP113" s="16" t="b">
        <f>C113=GovRev!C113</f>
        <v>1</v>
      </c>
    </row>
    <row r="114" spans="1:94" s="16" customFormat="1">
      <c r="A114" s="3" t="s">
        <v>408</v>
      </c>
      <c r="C114" s="16" t="s">
        <v>190</v>
      </c>
      <c r="E114" s="16">
        <v>49163</v>
      </c>
      <c r="G114" s="3">
        <v>80512</v>
      </c>
      <c r="H114" s="3"/>
      <c r="I114" s="3">
        <v>3129015</v>
      </c>
      <c r="J114" s="3"/>
      <c r="K114" s="3">
        <v>0</v>
      </c>
      <c r="L114" s="3"/>
      <c r="M114" s="32">
        <v>0</v>
      </c>
      <c r="N114" s="3"/>
      <c r="O114" s="3">
        <v>0</v>
      </c>
      <c r="P114" s="3"/>
      <c r="Q114" s="3">
        <v>1708422</v>
      </c>
      <c r="R114" s="3"/>
      <c r="S114" s="3">
        <v>2455147</v>
      </c>
      <c r="T114" s="3"/>
      <c r="U114" s="3">
        <v>120644</v>
      </c>
      <c r="V114" s="3"/>
      <c r="W114" s="3">
        <v>638373</v>
      </c>
      <c r="X114" s="3"/>
      <c r="Y114" s="3">
        <v>270044</v>
      </c>
      <c r="Z114" s="3"/>
      <c r="AA114" s="3">
        <v>95212</v>
      </c>
      <c r="AB114" s="3"/>
      <c r="AC114" s="3">
        <v>59543</v>
      </c>
      <c r="AD114" s="3"/>
      <c r="AE114" s="3" t="s">
        <v>408</v>
      </c>
      <c r="AG114" s="16" t="s">
        <v>190</v>
      </c>
      <c r="AH114" s="3"/>
      <c r="AI114" s="3">
        <v>9382</v>
      </c>
      <c r="AJ114" s="3"/>
      <c r="AK114" s="3">
        <v>328</v>
      </c>
      <c r="AL114" s="3"/>
      <c r="AM114" s="3">
        <v>0</v>
      </c>
      <c r="AN114" s="3"/>
      <c r="AO114" s="3">
        <v>114282</v>
      </c>
      <c r="AP114" s="3"/>
      <c r="AQ114" s="3">
        <v>0</v>
      </c>
      <c r="AR114" s="3"/>
      <c r="AS114" s="3">
        <v>10072</v>
      </c>
      <c r="AT114" s="3"/>
      <c r="AU114" s="3">
        <v>0</v>
      </c>
      <c r="AV114" s="3"/>
      <c r="AW114" s="3">
        <v>0</v>
      </c>
      <c r="AX114" s="3"/>
      <c r="AY114" s="3">
        <v>10771</v>
      </c>
      <c r="AZ114" s="3"/>
      <c r="BA114" s="3">
        <v>279</v>
      </c>
      <c r="BB114" s="3"/>
      <c r="BC114" s="3">
        <v>0</v>
      </c>
      <c r="BD114" s="3"/>
      <c r="BE114" s="17">
        <f t="shared" si="13"/>
        <v>8702026</v>
      </c>
      <c r="BF114" s="3" t="s">
        <v>408</v>
      </c>
      <c r="BH114" s="16" t="s">
        <v>190</v>
      </c>
      <c r="BI114" s="3"/>
      <c r="BJ114" s="3">
        <v>0</v>
      </c>
      <c r="BK114" s="3"/>
      <c r="BL114" s="3">
        <v>0</v>
      </c>
      <c r="BM114" s="3"/>
      <c r="BN114" s="3">
        <v>0</v>
      </c>
      <c r="BO114" s="3"/>
      <c r="BP114" s="3">
        <v>0</v>
      </c>
      <c r="BQ114" s="3"/>
      <c r="BR114" s="17">
        <f t="shared" si="26"/>
        <v>8702026</v>
      </c>
      <c r="BS114" s="3"/>
      <c r="BT114" s="17">
        <f>GovRev!AV114-BR114</f>
        <v>42815</v>
      </c>
      <c r="BU114" s="3"/>
      <c r="BV114" s="3">
        <v>177750</v>
      </c>
      <c r="BW114" s="3"/>
      <c r="BX114" s="3">
        <v>0</v>
      </c>
      <c r="BY114" s="3"/>
      <c r="BZ114" s="17">
        <f t="shared" si="22"/>
        <v>220565</v>
      </c>
      <c r="CA114" s="17"/>
      <c r="CB114" s="17">
        <f>-BZ114+GovBS!AE114</f>
        <v>0</v>
      </c>
      <c r="CE114" s="32"/>
      <c r="CF114" s="3" t="str">
        <f t="shared" si="19"/>
        <v>Portage County Educ Srv Ctr</v>
      </c>
      <c r="CG114" s="3" t="b">
        <f t="shared" si="14"/>
        <v>1</v>
      </c>
      <c r="CH114" s="3" t="b">
        <f t="shared" si="15"/>
        <v>1</v>
      </c>
      <c r="CI114" s="20" t="str">
        <f>GovRev!A114</f>
        <v>Portage County Educ Srv Ctr</v>
      </c>
      <c r="CJ114" s="20" t="b">
        <f t="shared" si="23"/>
        <v>1</v>
      </c>
      <c r="CL114" s="20" t="str">
        <f t="shared" si="16"/>
        <v>Portage</v>
      </c>
      <c r="CM114" s="20" t="b">
        <f t="shared" si="17"/>
        <v>1</v>
      </c>
      <c r="CN114" s="20" t="b">
        <f t="shared" si="18"/>
        <v>1</v>
      </c>
      <c r="CP114" s="16" t="b">
        <f>C114=GovRev!C114</f>
        <v>1</v>
      </c>
    </row>
    <row r="115" spans="1:94" s="66" customFormat="1" hidden="1">
      <c r="A115" s="66" t="s">
        <v>409</v>
      </c>
      <c r="C115" s="66" t="s">
        <v>191</v>
      </c>
      <c r="E115" s="66">
        <v>49254</v>
      </c>
      <c r="G115" s="65"/>
      <c r="H115" s="65"/>
      <c r="I115" s="65"/>
      <c r="J115" s="65"/>
      <c r="K115" s="65"/>
      <c r="L115" s="65"/>
      <c r="M115" s="80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6" t="s">
        <v>409</v>
      </c>
      <c r="AG115" s="66" t="s">
        <v>191</v>
      </c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7">
        <f t="shared" si="13"/>
        <v>0</v>
      </c>
      <c r="BF115" s="66" t="s">
        <v>409</v>
      </c>
      <c r="BH115" s="66" t="s">
        <v>191</v>
      </c>
      <c r="BI115" s="65"/>
      <c r="BJ115" s="65"/>
      <c r="BK115" s="65"/>
      <c r="BL115" s="65">
        <v>0</v>
      </c>
      <c r="BM115" s="65"/>
      <c r="BN115" s="65">
        <v>0</v>
      </c>
      <c r="BO115" s="65"/>
      <c r="BP115" s="65">
        <v>0</v>
      </c>
      <c r="BQ115" s="65"/>
      <c r="BR115" s="67">
        <f t="shared" si="26"/>
        <v>0</v>
      </c>
      <c r="BS115" s="65"/>
      <c r="BT115" s="67">
        <f>GovRev!AV115-BR115</f>
        <v>0</v>
      </c>
      <c r="BU115" s="65"/>
      <c r="BV115" s="65"/>
      <c r="BW115" s="65"/>
      <c r="BX115" s="65"/>
      <c r="BY115" s="65"/>
      <c r="BZ115" s="67">
        <f t="shared" si="22"/>
        <v>0</v>
      </c>
      <c r="CA115" s="67"/>
      <c r="CB115" s="67">
        <f>-BZ115+GovBS!AE115</f>
        <v>0</v>
      </c>
      <c r="CE115" s="80" t="s">
        <v>410</v>
      </c>
      <c r="CF115" s="65" t="str">
        <f t="shared" si="19"/>
        <v>Preble County Educ Srv Ctr (CASH)</v>
      </c>
      <c r="CG115" s="65" t="b">
        <f t="shared" si="14"/>
        <v>1</v>
      </c>
      <c r="CH115" s="65" t="b">
        <f t="shared" si="15"/>
        <v>1</v>
      </c>
      <c r="CI115" s="68" t="str">
        <f>GovRev!A115</f>
        <v>Preble County Educ Srv Ctr (CASH)</v>
      </c>
      <c r="CJ115" s="68" t="b">
        <f t="shared" si="23"/>
        <v>1</v>
      </c>
      <c r="CL115" s="68" t="str">
        <f t="shared" si="16"/>
        <v>Preble</v>
      </c>
      <c r="CM115" s="68" t="b">
        <f t="shared" si="17"/>
        <v>1</v>
      </c>
      <c r="CN115" s="68" t="b">
        <f t="shared" si="18"/>
        <v>1</v>
      </c>
      <c r="CP115" s="66" t="b">
        <f>C115=GovRev!C115</f>
        <v>1</v>
      </c>
    </row>
    <row r="116" spans="1:94" s="16" customFormat="1">
      <c r="A116" s="3" t="s">
        <v>411</v>
      </c>
      <c r="C116" s="16" t="s">
        <v>192</v>
      </c>
      <c r="E116" s="16">
        <v>49304</v>
      </c>
      <c r="G116" s="3">
        <v>883474</v>
      </c>
      <c r="H116" s="3"/>
      <c r="I116" s="3">
        <v>942700</v>
      </c>
      <c r="J116" s="3"/>
      <c r="K116" s="3">
        <v>0</v>
      </c>
      <c r="L116" s="3"/>
      <c r="M116" s="32">
        <v>28978</v>
      </c>
      <c r="N116" s="3"/>
      <c r="O116" s="3">
        <v>80</v>
      </c>
      <c r="P116" s="3"/>
      <c r="Q116" s="3">
        <v>1000338</v>
      </c>
      <c r="R116" s="3"/>
      <c r="S116" s="3">
        <v>1717014</v>
      </c>
      <c r="T116" s="3"/>
      <c r="U116" s="3">
        <v>28369</v>
      </c>
      <c r="V116" s="3"/>
      <c r="W116" s="3">
        <v>271634</v>
      </c>
      <c r="X116" s="3"/>
      <c r="Y116" s="3">
        <v>273506</v>
      </c>
      <c r="Z116" s="3"/>
      <c r="AA116" s="3">
        <v>13793</v>
      </c>
      <c r="AB116" s="3"/>
      <c r="AC116" s="3">
        <v>88539</v>
      </c>
      <c r="AD116" s="3"/>
      <c r="AE116" s="3" t="s">
        <v>411</v>
      </c>
      <c r="AG116" s="16" t="s">
        <v>192</v>
      </c>
      <c r="AH116" s="3"/>
      <c r="AI116" s="3">
        <v>97058</v>
      </c>
      <c r="AJ116" s="3"/>
      <c r="AK116" s="3">
        <v>24091</v>
      </c>
      <c r="AL116" s="3"/>
      <c r="AM116" s="3">
        <v>0</v>
      </c>
      <c r="AN116" s="3"/>
      <c r="AO116" s="3">
        <v>0</v>
      </c>
      <c r="AP116" s="3"/>
      <c r="AQ116" s="3">
        <v>24008</v>
      </c>
      <c r="AR116" s="3"/>
      <c r="AS116" s="3">
        <v>0</v>
      </c>
      <c r="AT116" s="3"/>
      <c r="AU116" s="3">
        <v>0</v>
      </c>
      <c r="AV116" s="3"/>
      <c r="AW116" s="3">
        <v>1111311</v>
      </c>
      <c r="AX116" s="3"/>
      <c r="AY116" s="3">
        <v>39100</v>
      </c>
      <c r="AZ116" s="3"/>
      <c r="BA116" s="3">
        <v>30053</v>
      </c>
      <c r="BB116" s="3"/>
      <c r="BC116" s="3">
        <v>0</v>
      </c>
      <c r="BD116" s="3"/>
      <c r="BE116" s="17">
        <f t="shared" si="13"/>
        <v>6574046</v>
      </c>
      <c r="BF116" s="3" t="s">
        <v>411</v>
      </c>
      <c r="BH116" s="16" t="s">
        <v>192</v>
      </c>
      <c r="BI116" s="3"/>
      <c r="BJ116" s="3">
        <v>0</v>
      </c>
      <c r="BK116" s="3"/>
      <c r="BL116" s="3">
        <v>0</v>
      </c>
      <c r="BM116" s="3"/>
      <c r="BN116" s="3">
        <v>0</v>
      </c>
      <c r="BO116" s="3"/>
      <c r="BP116" s="3">
        <v>0</v>
      </c>
      <c r="BQ116" s="3"/>
      <c r="BR116" s="17">
        <f t="shared" si="26"/>
        <v>6574046</v>
      </c>
      <c r="BS116" s="3"/>
      <c r="BT116" s="17">
        <f>GovRev!AV116-BR116</f>
        <v>714270</v>
      </c>
      <c r="BU116" s="3"/>
      <c r="BV116" s="3">
        <v>723370</v>
      </c>
      <c r="BW116" s="3"/>
      <c r="BX116" s="3">
        <v>0</v>
      </c>
      <c r="BY116" s="3"/>
      <c r="BZ116" s="17">
        <f t="shared" si="22"/>
        <v>1437640</v>
      </c>
      <c r="CA116" s="17"/>
      <c r="CB116" s="17">
        <f>-BZ116+GovBS!AE116</f>
        <v>0</v>
      </c>
      <c r="CE116" s="3"/>
      <c r="CF116" s="3" t="str">
        <f t="shared" si="19"/>
        <v>Putnam County Educ Srv Ctr</v>
      </c>
      <c r="CG116" s="3" t="b">
        <f t="shared" si="14"/>
        <v>1</v>
      </c>
      <c r="CH116" s="3" t="b">
        <f t="shared" si="15"/>
        <v>1</v>
      </c>
      <c r="CI116" s="20" t="str">
        <f>GovRev!A116</f>
        <v>Putnam County Educ Srv Ctr</v>
      </c>
      <c r="CJ116" s="20" t="b">
        <f t="shared" si="23"/>
        <v>1</v>
      </c>
      <c r="CL116" s="20" t="str">
        <f t="shared" si="16"/>
        <v>Putnam</v>
      </c>
      <c r="CM116" s="20" t="b">
        <f t="shared" si="17"/>
        <v>1</v>
      </c>
      <c r="CN116" s="20" t="b">
        <f t="shared" si="18"/>
        <v>1</v>
      </c>
      <c r="CP116" s="16" t="b">
        <f>C116=GovRev!C116</f>
        <v>1</v>
      </c>
    </row>
    <row r="117" spans="1:94" s="16" customFormat="1">
      <c r="A117" s="3" t="s">
        <v>412</v>
      </c>
      <c r="C117" s="16" t="s">
        <v>194</v>
      </c>
      <c r="E117" s="16">
        <v>138222</v>
      </c>
      <c r="G117" s="3">
        <v>45539</v>
      </c>
      <c r="H117" s="3"/>
      <c r="I117" s="3">
        <v>4298439</v>
      </c>
      <c r="J117" s="3"/>
      <c r="K117" s="3">
        <v>0</v>
      </c>
      <c r="L117" s="3"/>
      <c r="M117" s="32">
        <v>0</v>
      </c>
      <c r="N117" s="3"/>
      <c r="O117" s="3">
        <v>12531</v>
      </c>
      <c r="P117" s="3"/>
      <c r="Q117" s="3">
        <v>2023281</v>
      </c>
      <c r="R117" s="3"/>
      <c r="S117" s="3">
        <v>3061814</v>
      </c>
      <c r="T117" s="3"/>
      <c r="U117" s="3">
        <v>55967</v>
      </c>
      <c r="V117" s="3"/>
      <c r="W117" s="3">
        <v>473904</v>
      </c>
      <c r="X117" s="3"/>
      <c r="Y117" s="3">
        <v>397581</v>
      </c>
      <c r="Z117" s="3"/>
      <c r="AA117" s="3">
        <v>0</v>
      </c>
      <c r="AB117" s="3"/>
      <c r="AC117" s="3">
        <v>110317</v>
      </c>
      <c r="AD117" s="3"/>
      <c r="AE117" s="3" t="s">
        <v>412</v>
      </c>
      <c r="AG117" s="16" t="s">
        <v>194</v>
      </c>
      <c r="AH117" s="3"/>
      <c r="AI117" s="3">
        <v>0</v>
      </c>
      <c r="AJ117" s="3"/>
      <c r="AK117" s="3">
        <v>61348</v>
      </c>
      <c r="AL117" s="3"/>
      <c r="AM117" s="3">
        <v>0</v>
      </c>
      <c r="AN117" s="3"/>
      <c r="AO117" s="3">
        <v>0</v>
      </c>
      <c r="AP117" s="3"/>
      <c r="AQ117" s="3">
        <v>26050</v>
      </c>
      <c r="AR117" s="3"/>
      <c r="AS117" s="3">
        <v>0</v>
      </c>
      <c r="AT117" s="3"/>
      <c r="AU117" s="3">
        <v>0</v>
      </c>
      <c r="AV117" s="3"/>
      <c r="AW117" s="3">
        <v>0</v>
      </c>
      <c r="AX117" s="3"/>
      <c r="AY117" s="3">
        <v>0</v>
      </c>
      <c r="AZ117" s="3"/>
      <c r="BA117" s="3">
        <v>0</v>
      </c>
      <c r="BB117" s="3"/>
      <c r="BC117" s="3">
        <v>0</v>
      </c>
      <c r="BD117" s="3"/>
      <c r="BE117" s="17">
        <f t="shared" si="13"/>
        <v>10566771</v>
      </c>
      <c r="BF117" s="3" t="s">
        <v>412</v>
      </c>
      <c r="BH117" s="16" t="s">
        <v>194</v>
      </c>
      <c r="BI117" s="3"/>
      <c r="BJ117" s="3">
        <v>0</v>
      </c>
      <c r="BK117" s="3"/>
      <c r="BL117" s="3">
        <v>0</v>
      </c>
      <c r="BM117" s="3"/>
      <c r="BN117" s="3">
        <v>0</v>
      </c>
      <c r="BO117" s="3"/>
      <c r="BP117" s="3">
        <v>0</v>
      </c>
      <c r="BQ117" s="3"/>
      <c r="BR117" s="17">
        <f t="shared" si="26"/>
        <v>10566771</v>
      </c>
      <c r="BS117" s="3"/>
      <c r="BT117" s="17">
        <f>GovRev!AV117-BR117</f>
        <v>218947</v>
      </c>
      <c r="BU117" s="3"/>
      <c r="BV117" s="3">
        <v>2834227</v>
      </c>
      <c r="BW117" s="3"/>
      <c r="BX117" s="3">
        <v>0</v>
      </c>
      <c r="BY117" s="3"/>
      <c r="BZ117" s="17">
        <f t="shared" si="22"/>
        <v>3053174</v>
      </c>
      <c r="CA117" s="17"/>
      <c r="CB117" s="17">
        <f>-BZ117+GovBS!AE117</f>
        <v>0</v>
      </c>
      <c r="CE117" s="3"/>
      <c r="CF117" s="3" t="str">
        <f t="shared" si="19"/>
        <v>Ross-Pike Educ Srv District</v>
      </c>
      <c r="CG117" s="3" t="b">
        <f t="shared" si="14"/>
        <v>1</v>
      </c>
      <c r="CH117" s="3" t="b">
        <f t="shared" si="15"/>
        <v>1</v>
      </c>
      <c r="CI117" s="20" t="str">
        <f>GovRev!A117</f>
        <v>Ross-Pike Educ Srv District</v>
      </c>
      <c r="CJ117" s="20" t="b">
        <f t="shared" si="23"/>
        <v>1</v>
      </c>
      <c r="CL117" s="20" t="str">
        <f t="shared" si="16"/>
        <v>Ross</v>
      </c>
      <c r="CM117" s="20" t="b">
        <f t="shared" si="17"/>
        <v>1</v>
      </c>
      <c r="CN117" s="20" t="b">
        <f t="shared" si="18"/>
        <v>1</v>
      </c>
      <c r="CP117" s="16" t="b">
        <f>C117=GovRev!C117</f>
        <v>1</v>
      </c>
    </row>
    <row r="118" spans="1:94" s="66" customFormat="1" hidden="1">
      <c r="A118" s="65" t="s">
        <v>341</v>
      </c>
      <c r="C118" s="66" t="s">
        <v>195</v>
      </c>
      <c r="E118" s="66">
        <v>49551</v>
      </c>
      <c r="G118" s="65"/>
      <c r="H118" s="65"/>
      <c r="I118" s="65"/>
      <c r="J118" s="65"/>
      <c r="K118" s="65"/>
      <c r="L118" s="65"/>
      <c r="M118" s="80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 t="s">
        <v>341</v>
      </c>
      <c r="AG118" s="66" t="s">
        <v>195</v>
      </c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7">
        <f t="shared" si="13"/>
        <v>0</v>
      </c>
      <c r="BF118" s="65" t="s">
        <v>341</v>
      </c>
      <c r="BH118" s="66" t="s">
        <v>195</v>
      </c>
      <c r="BI118" s="65"/>
      <c r="BJ118" s="65"/>
      <c r="BK118" s="65"/>
      <c r="BL118" s="65"/>
      <c r="BM118" s="65"/>
      <c r="BN118" s="65"/>
      <c r="BO118" s="65"/>
      <c r="BP118" s="65"/>
      <c r="BQ118" s="65"/>
      <c r="BR118" s="67">
        <f t="shared" si="26"/>
        <v>0</v>
      </c>
      <c r="BS118" s="65"/>
      <c r="BT118" s="67">
        <f>GovRev!AV118-BR118</f>
        <v>0</v>
      </c>
      <c r="BU118" s="65"/>
      <c r="BV118" s="65"/>
      <c r="BW118" s="65"/>
      <c r="BX118" s="65"/>
      <c r="BY118" s="65"/>
      <c r="BZ118" s="67">
        <f t="shared" si="22"/>
        <v>0</v>
      </c>
      <c r="CA118" s="67"/>
      <c r="CB118" s="67">
        <f>-BZ118+GovBS!AE118</f>
        <v>0</v>
      </c>
      <c r="CE118" s="65" t="s">
        <v>321</v>
      </c>
      <c r="CF118" s="65" t="str">
        <f t="shared" si="19"/>
        <v>Sandusky Educ Srv Ctr - merged with two other ESC</v>
      </c>
      <c r="CG118" s="65" t="b">
        <f t="shared" si="14"/>
        <v>1</v>
      </c>
      <c r="CH118" s="65" t="b">
        <f t="shared" si="15"/>
        <v>1</v>
      </c>
      <c r="CI118" s="68" t="str">
        <f>GovRev!A118</f>
        <v>Sandusky Educ Srv Ctr - merged with two other ESC</v>
      </c>
      <c r="CJ118" s="68" t="b">
        <f t="shared" si="23"/>
        <v>1</v>
      </c>
      <c r="CL118" s="68" t="str">
        <f t="shared" si="16"/>
        <v>Sandusky</v>
      </c>
      <c r="CM118" s="68" t="b">
        <f t="shared" si="17"/>
        <v>1</v>
      </c>
      <c r="CN118" s="68" t="b">
        <f t="shared" si="18"/>
        <v>1</v>
      </c>
      <c r="CP118" s="66" t="b">
        <f>C118=GovRev!C118</f>
        <v>1</v>
      </c>
    </row>
    <row r="119" spans="1:94" s="16" customFormat="1">
      <c r="A119" s="3" t="s">
        <v>417</v>
      </c>
      <c r="C119" s="16" t="s">
        <v>198</v>
      </c>
      <c r="E119" s="16">
        <v>49742</v>
      </c>
      <c r="G119" s="3">
        <v>605143</v>
      </c>
      <c r="H119" s="3"/>
      <c r="I119" s="3">
        <v>1206943</v>
      </c>
      <c r="J119" s="3"/>
      <c r="K119" s="3">
        <v>0</v>
      </c>
      <c r="L119" s="3"/>
      <c r="M119" s="32">
        <v>0</v>
      </c>
      <c r="N119" s="3"/>
      <c r="O119" s="3">
        <v>0</v>
      </c>
      <c r="P119" s="3"/>
      <c r="Q119" s="3">
        <v>1449484</v>
      </c>
      <c r="R119" s="3"/>
      <c r="S119" s="3">
        <v>989035</v>
      </c>
      <c r="T119" s="3"/>
      <c r="U119" s="3">
        <v>31836</v>
      </c>
      <c r="V119" s="3"/>
      <c r="W119" s="3">
        <v>535582</v>
      </c>
      <c r="X119" s="3"/>
      <c r="Y119" s="3">
        <v>175884</v>
      </c>
      <c r="Z119" s="3"/>
      <c r="AA119" s="3">
        <v>10185</v>
      </c>
      <c r="AB119" s="3"/>
      <c r="AC119" s="3">
        <v>20083</v>
      </c>
      <c r="AD119" s="3"/>
      <c r="AE119" s="3" t="s">
        <v>417</v>
      </c>
      <c r="AG119" s="16" t="s">
        <v>198</v>
      </c>
      <c r="AH119" s="3"/>
      <c r="AI119" s="3">
        <v>412</v>
      </c>
      <c r="AJ119" s="3"/>
      <c r="AK119" s="3">
        <v>159442</v>
      </c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v>3268</v>
      </c>
      <c r="AT119" s="3"/>
      <c r="AU119" s="3">
        <v>0</v>
      </c>
      <c r="AV119" s="3"/>
      <c r="AW119" s="3">
        <v>0</v>
      </c>
      <c r="AX119" s="3"/>
      <c r="AY119" s="3">
        <v>10404</v>
      </c>
      <c r="AZ119" s="3"/>
      <c r="BA119" s="3">
        <v>4320</v>
      </c>
      <c r="BB119" s="3"/>
      <c r="BC119" s="3">
        <v>0</v>
      </c>
      <c r="BD119" s="3"/>
      <c r="BE119" s="17">
        <f t="shared" si="13"/>
        <v>5202021</v>
      </c>
      <c r="BF119" s="3" t="s">
        <v>417</v>
      </c>
      <c r="BH119" s="16" t="s">
        <v>198</v>
      </c>
      <c r="BI119" s="3"/>
      <c r="BJ119" s="3">
        <v>0</v>
      </c>
      <c r="BK119" s="3"/>
      <c r="BL119" s="3">
        <v>0</v>
      </c>
      <c r="BM119" s="3"/>
      <c r="BN119" s="3">
        <v>0</v>
      </c>
      <c r="BO119" s="3"/>
      <c r="BP119" s="3">
        <v>0</v>
      </c>
      <c r="BQ119" s="3"/>
      <c r="BR119" s="17">
        <f t="shared" si="26"/>
        <v>5202021</v>
      </c>
      <c r="BS119" s="3"/>
      <c r="BT119" s="17">
        <f>GovRev!AV119-BR119</f>
        <v>148510</v>
      </c>
      <c r="BU119" s="3"/>
      <c r="BV119" s="3">
        <v>612618</v>
      </c>
      <c r="BW119" s="3"/>
      <c r="BX119" s="3">
        <v>0</v>
      </c>
      <c r="BY119" s="3"/>
      <c r="BZ119" s="17">
        <f t="shared" si="22"/>
        <v>761128</v>
      </c>
      <c r="CA119" s="17"/>
      <c r="CB119" s="17">
        <f>-BZ119+GovBS!AE119</f>
        <v>0</v>
      </c>
      <c r="CE119" s="32" t="s">
        <v>418</v>
      </c>
      <c r="CF119" s="3" t="str">
        <f t="shared" si="19"/>
        <v>Shelby County Educ Srv Ctr</v>
      </c>
      <c r="CG119" s="3" t="b">
        <f t="shared" si="14"/>
        <v>1</v>
      </c>
      <c r="CH119" s="3" t="b">
        <f t="shared" si="15"/>
        <v>1</v>
      </c>
      <c r="CI119" s="20" t="str">
        <f>GovRev!A119</f>
        <v>Shelby County Educ Srv Ctr</v>
      </c>
      <c r="CJ119" s="20" t="b">
        <f t="shared" si="23"/>
        <v>1</v>
      </c>
      <c r="CL119" s="20" t="str">
        <f t="shared" si="16"/>
        <v>Shelby</v>
      </c>
      <c r="CM119" s="20" t="b">
        <f t="shared" si="17"/>
        <v>1</v>
      </c>
      <c r="CN119" s="20" t="b">
        <f t="shared" si="18"/>
        <v>1</v>
      </c>
      <c r="CP119" s="16" t="b">
        <f>C119=GovRev!C119</f>
        <v>1</v>
      </c>
    </row>
    <row r="120" spans="1:94" s="16" customFormat="1">
      <c r="A120" s="3" t="s">
        <v>275</v>
      </c>
      <c r="C120" s="16" t="s">
        <v>196</v>
      </c>
      <c r="E120" s="16">
        <v>125658</v>
      </c>
      <c r="G120" s="3">
        <v>522980</v>
      </c>
      <c r="H120" s="3"/>
      <c r="I120" s="3">
        <v>3779025</v>
      </c>
      <c r="J120" s="3"/>
      <c r="K120" s="3">
        <v>0</v>
      </c>
      <c r="L120" s="3"/>
      <c r="M120" s="32">
        <v>215252</v>
      </c>
      <c r="N120" s="3"/>
      <c r="O120" s="3">
        <v>0</v>
      </c>
      <c r="P120" s="3"/>
      <c r="Q120" s="3">
        <v>2027605</v>
      </c>
      <c r="R120" s="3"/>
      <c r="S120" s="3">
        <v>1067077</v>
      </c>
      <c r="T120" s="3"/>
      <c r="U120" s="3">
        <v>31443</v>
      </c>
      <c r="V120" s="3"/>
      <c r="W120" s="3">
        <v>695268</v>
      </c>
      <c r="X120" s="3"/>
      <c r="Y120" s="3">
        <v>235511</v>
      </c>
      <c r="Z120" s="3"/>
      <c r="AA120" s="3">
        <v>0</v>
      </c>
      <c r="AB120" s="3"/>
      <c r="AC120" s="3">
        <v>121025</v>
      </c>
      <c r="AD120" s="3"/>
      <c r="AE120" s="3" t="s">
        <v>275</v>
      </c>
      <c r="AG120" s="16" t="s">
        <v>196</v>
      </c>
      <c r="AH120" s="3"/>
      <c r="AI120" s="3">
        <v>12976</v>
      </c>
      <c r="AJ120" s="3"/>
      <c r="AK120" s="3">
        <v>152169</v>
      </c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0</v>
      </c>
      <c r="AT120" s="3"/>
      <c r="AU120" s="3">
        <v>0</v>
      </c>
      <c r="AV120" s="3"/>
      <c r="AW120" s="3">
        <v>0</v>
      </c>
      <c r="AX120" s="3"/>
      <c r="AY120" s="3">
        <v>27966</v>
      </c>
      <c r="AZ120" s="3"/>
      <c r="BA120" s="3">
        <v>2635</v>
      </c>
      <c r="BB120" s="3"/>
      <c r="BC120" s="3">
        <v>0</v>
      </c>
      <c r="BD120" s="3"/>
      <c r="BE120" s="17">
        <f t="shared" si="13"/>
        <v>8890932</v>
      </c>
      <c r="BF120" s="3" t="s">
        <v>275</v>
      </c>
      <c r="BH120" s="16" t="s">
        <v>196</v>
      </c>
      <c r="BI120" s="3"/>
      <c r="BJ120" s="3">
        <v>0</v>
      </c>
      <c r="BK120" s="3"/>
      <c r="BL120" s="3">
        <v>0</v>
      </c>
      <c r="BM120" s="3"/>
      <c r="BN120" s="3">
        <v>0</v>
      </c>
      <c r="BO120" s="3"/>
      <c r="BP120" s="3">
        <v>0</v>
      </c>
      <c r="BQ120" s="3"/>
      <c r="BR120" s="17">
        <f t="shared" si="26"/>
        <v>8890932</v>
      </c>
      <c r="BS120" s="3"/>
      <c r="BT120" s="17">
        <f>GovRev!AV120-BR120</f>
        <v>239107</v>
      </c>
      <c r="BU120" s="3"/>
      <c r="BV120" s="3">
        <v>810864</v>
      </c>
      <c r="BW120" s="3"/>
      <c r="BX120" s="3">
        <v>0</v>
      </c>
      <c r="BY120" s="3"/>
      <c r="BZ120" s="17">
        <f t="shared" si="22"/>
        <v>1049971</v>
      </c>
      <c r="CA120" s="17"/>
      <c r="CB120" s="17">
        <f>-BZ120+GovBS!AE120</f>
        <v>0</v>
      </c>
      <c r="CE120" s="3"/>
      <c r="CF120" s="3" t="str">
        <f t="shared" si="19"/>
        <v>South Central Ohio Educ Srv Ctr</v>
      </c>
      <c r="CG120" s="3" t="b">
        <f t="shared" si="14"/>
        <v>1</v>
      </c>
      <c r="CH120" s="3" t="b">
        <f t="shared" si="15"/>
        <v>1</v>
      </c>
      <c r="CI120" s="20" t="str">
        <f>GovRev!A120</f>
        <v>South Central Ohio Educ Srv Ctr</v>
      </c>
      <c r="CJ120" s="20" t="b">
        <f t="shared" si="23"/>
        <v>1</v>
      </c>
      <c r="CL120" s="20" t="str">
        <f t="shared" si="16"/>
        <v>Scioto</v>
      </c>
      <c r="CM120" s="20" t="b">
        <f t="shared" si="17"/>
        <v>1</v>
      </c>
      <c r="CN120" s="20" t="b">
        <f t="shared" si="18"/>
        <v>1</v>
      </c>
      <c r="CP120" s="16" t="b">
        <f>C120=GovRev!C120</f>
        <v>1</v>
      </c>
    </row>
    <row r="121" spans="1:94" s="16" customFormat="1">
      <c r="A121" s="3" t="s">
        <v>274</v>
      </c>
      <c r="B121" s="3"/>
      <c r="C121" s="3" t="s">
        <v>158</v>
      </c>
      <c r="G121" s="3">
        <v>454086</v>
      </c>
      <c r="H121" s="3"/>
      <c r="I121" s="3">
        <v>563739</v>
      </c>
      <c r="J121" s="3"/>
      <c r="K121" s="3">
        <v>0</v>
      </c>
      <c r="L121" s="3"/>
      <c r="M121" s="32">
        <v>0</v>
      </c>
      <c r="N121" s="3"/>
      <c r="O121" s="3">
        <v>0</v>
      </c>
      <c r="P121" s="3"/>
      <c r="Q121" s="3">
        <v>363340</v>
      </c>
      <c r="R121" s="3"/>
      <c r="S121" s="3">
        <v>1205383</v>
      </c>
      <c r="T121" s="3"/>
      <c r="U121" s="3">
        <v>30089</v>
      </c>
      <c r="V121" s="3"/>
      <c r="W121" s="3">
        <v>517939</v>
      </c>
      <c r="X121" s="3"/>
      <c r="Y121" s="3">
        <v>231754</v>
      </c>
      <c r="Z121" s="3"/>
      <c r="AA121" s="3">
        <v>0</v>
      </c>
      <c r="AB121" s="3"/>
      <c r="AC121" s="3">
        <v>63518</v>
      </c>
      <c r="AD121" s="3"/>
      <c r="AE121" s="3" t="s">
        <v>274</v>
      </c>
      <c r="AF121" s="3"/>
      <c r="AG121" s="3" t="s">
        <v>158</v>
      </c>
      <c r="AH121" s="3"/>
      <c r="AI121" s="3">
        <v>0</v>
      </c>
      <c r="AJ121" s="3"/>
      <c r="AK121" s="3">
        <v>238552</v>
      </c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>
        <v>0</v>
      </c>
      <c r="AX121" s="3"/>
      <c r="AY121" s="3">
        <v>0</v>
      </c>
      <c r="AZ121" s="3"/>
      <c r="BA121" s="3">
        <v>0</v>
      </c>
      <c r="BB121" s="3"/>
      <c r="BC121" s="3">
        <v>0</v>
      </c>
      <c r="BD121" s="3"/>
      <c r="BE121" s="17">
        <f>SUM(G121:BC121)</f>
        <v>3668400</v>
      </c>
      <c r="BF121" s="3" t="s">
        <v>274</v>
      </c>
      <c r="BG121" s="3"/>
      <c r="BH121" s="3" t="s">
        <v>158</v>
      </c>
      <c r="BI121" s="3"/>
      <c r="BJ121" s="3">
        <v>0</v>
      </c>
      <c r="BK121" s="3"/>
      <c r="BL121" s="3">
        <v>0</v>
      </c>
      <c r="BM121" s="3"/>
      <c r="BN121" s="3">
        <v>0</v>
      </c>
      <c r="BO121" s="3"/>
      <c r="BP121" s="3">
        <v>0</v>
      </c>
      <c r="BQ121" s="3"/>
      <c r="BR121" s="17">
        <f t="shared" si="26"/>
        <v>3668400</v>
      </c>
      <c r="BS121" s="3"/>
      <c r="BT121" s="17">
        <f>GovRev!AV121-BR121</f>
        <v>-43532</v>
      </c>
      <c r="BU121" s="3"/>
      <c r="BV121" s="3">
        <v>2706228</v>
      </c>
      <c r="BW121" s="3"/>
      <c r="BX121" s="3">
        <v>0</v>
      </c>
      <c r="BY121" s="3"/>
      <c r="BZ121" s="17">
        <f t="shared" si="22"/>
        <v>2662696</v>
      </c>
      <c r="CA121" s="17"/>
      <c r="CB121" s="17">
        <f>-BZ121+GovBS!AE121</f>
        <v>0</v>
      </c>
      <c r="CE121" s="19"/>
      <c r="CF121" s="3" t="str">
        <f t="shared" si="19"/>
        <v>Southern Ohio Educ Srv Ctr</v>
      </c>
      <c r="CG121" s="3" t="b">
        <f t="shared" si="14"/>
        <v>1</v>
      </c>
      <c r="CH121" s="3" t="b">
        <f t="shared" si="15"/>
        <v>1</v>
      </c>
      <c r="CI121" s="20" t="str">
        <f>GovRev!A121</f>
        <v>Southern Ohio Educ Srv Ctr</v>
      </c>
      <c r="CJ121" s="20" t="b">
        <f t="shared" si="23"/>
        <v>1</v>
      </c>
      <c r="CL121" s="20" t="str">
        <f t="shared" si="16"/>
        <v>Clinton</v>
      </c>
      <c r="CM121" s="20" t="b">
        <f t="shared" si="17"/>
        <v>1</v>
      </c>
      <c r="CN121" s="20" t="b">
        <f t="shared" si="18"/>
        <v>1</v>
      </c>
      <c r="CP121" s="16" t="b">
        <f>C121=GovRev!C121</f>
        <v>1</v>
      </c>
    </row>
    <row r="122" spans="1:94" s="16" customFormat="1">
      <c r="A122" s="16" t="s">
        <v>419</v>
      </c>
      <c r="C122" s="16" t="s">
        <v>199</v>
      </c>
      <c r="E122" s="16">
        <v>49825</v>
      </c>
      <c r="G122" s="3">
        <v>87778</v>
      </c>
      <c r="H122" s="3"/>
      <c r="I122" s="3">
        <v>4855831</v>
      </c>
      <c r="J122" s="3"/>
      <c r="K122" s="3">
        <v>0</v>
      </c>
      <c r="L122" s="3"/>
      <c r="M122" s="32">
        <v>0</v>
      </c>
      <c r="N122" s="3"/>
      <c r="O122" s="3">
        <v>0</v>
      </c>
      <c r="P122" s="3"/>
      <c r="Q122" s="3">
        <v>3346406</v>
      </c>
      <c r="R122" s="3"/>
      <c r="S122" s="3">
        <v>6429362</v>
      </c>
      <c r="T122" s="3"/>
      <c r="U122" s="3">
        <v>6452</v>
      </c>
      <c r="V122" s="3"/>
      <c r="W122" s="3">
        <v>3462539</v>
      </c>
      <c r="X122" s="3"/>
      <c r="Y122" s="3">
        <v>458200</v>
      </c>
      <c r="Z122" s="3"/>
      <c r="AA122" s="3">
        <v>682989</v>
      </c>
      <c r="AB122" s="3"/>
      <c r="AC122" s="3">
        <v>570406</v>
      </c>
      <c r="AD122" s="3"/>
      <c r="AE122" s="16" t="s">
        <v>419</v>
      </c>
      <c r="AG122" s="16" t="s">
        <v>199</v>
      </c>
      <c r="AH122" s="3"/>
      <c r="AI122" s="3">
        <v>68680</v>
      </c>
      <c r="AJ122" s="3"/>
      <c r="AK122" s="3">
        <v>113803</v>
      </c>
      <c r="AL122" s="3"/>
      <c r="AM122" s="3">
        <v>0</v>
      </c>
      <c r="AN122" s="3"/>
      <c r="AO122" s="3">
        <v>32556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>
        <v>0</v>
      </c>
      <c r="AZ122" s="3"/>
      <c r="BA122" s="3">
        <v>0</v>
      </c>
      <c r="BB122" s="3"/>
      <c r="BC122" s="3">
        <v>0</v>
      </c>
      <c r="BD122" s="3"/>
      <c r="BE122" s="17">
        <f t="shared" si="13"/>
        <v>20115002</v>
      </c>
      <c r="BF122" s="16" t="s">
        <v>419</v>
      </c>
      <c r="BH122" s="16" t="s">
        <v>199</v>
      </c>
      <c r="BI122" s="3"/>
      <c r="BJ122" s="3">
        <v>0</v>
      </c>
      <c r="BK122" s="3"/>
      <c r="BL122" s="3">
        <v>0</v>
      </c>
      <c r="BM122" s="3"/>
      <c r="BN122" s="3">
        <v>0</v>
      </c>
      <c r="BO122" s="3"/>
      <c r="BP122" s="3">
        <v>0</v>
      </c>
      <c r="BQ122" s="3"/>
      <c r="BR122" s="17">
        <f t="shared" si="26"/>
        <v>20115002</v>
      </c>
      <c r="BS122" s="3"/>
      <c r="BT122" s="17">
        <f>GovRev!AV122-BR122</f>
        <v>324531</v>
      </c>
      <c r="BU122" s="3"/>
      <c r="BV122" s="3">
        <v>12791</v>
      </c>
      <c r="BW122" s="3"/>
      <c r="BX122" s="3">
        <v>0</v>
      </c>
      <c r="BY122" s="3"/>
      <c r="BZ122" s="17">
        <f t="shared" si="22"/>
        <v>337322</v>
      </c>
      <c r="CA122" s="17"/>
      <c r="CB122" s="17">
        <f>-BZ122+GovBS!AE122</f>
        <v>0</v>
      </c>
      <c r="CE122" s="30"/>
      <c r="CF122" s="3" t="str">
        <f t="shared" si="19"/>
        <v xml:space="preserve">Stark County Educ Srv Ctr  </v>
      </c>
      <c r="CG122" s="3" t="b">
        <f t="shared" si="14"/>
        <v>1</v>
      </c>
      <c r="CH122" s="3" t="b">
        <f t="shared" si="15"/>
        <v>1</v>
      </c>
      <c r="CI122" s="20" t="str">
        <f>GovRev!A122</f>
        <v xml:space="preserve">Stark County Educ Srv Ctr  </v>
      </c>
      <c r="CJ122" s="20" t="b">
        <f t="shared" si="23"/>
        <v>1</v>
      </c>
      <c r="CL122" s="20" t="str">
        <f t="shared" si="16"/>
        <v>Stark</v>
      </c>
      <c r="CM122" s="20" t="b">
        <f t="shared" si="17"/>
        <v>1</v>
      </c>
      <c r="CN122" s="20" t="b">
        <f t="shared" si="18"/>
        <v>1</v>
      </c>
      <c r="CP122" s="16" t="b">
        <f>C122=GovRev!C122</f>
        <v>1</v>
      </c>
    </row>
    <row r="123" spans="1:94" s="16" customFormat="1">
      <c r="A123" s="3" t="s">
        <v>420</v>
      </c>
      <c r="C123" s="16" t="s">
        <v>200</v>
      </c>
      <c r="E123" s="16">
        <v>49965</v>
      </c>
      <c r="G123" s="3">
        <v>924067</v>
      </c>
      <c r="H123" s="3"/>
      <c r="I123" s="3">
        <v>4317750</v>
      </c>
      <c r="J123" s="3"/>
      <c r="K123" s="3">
        <v>88926</v>
      </c>
      <c r="L123" s="3"/>
      <c r="M123" s="32">
        <v>0</v>
      </c>
      <c r="N123" s="3"/>
      <c r="O123" s="3">
        <v>0</v>
      </c>
      <c r="P123" s="3"/>
      <c r="Q123" s="3">
        <v>3171368</v>
      </c>
      <c r="R123" s="3"/>
      <c r="S123" s="3">
        <v>4324452</v>
      </c>
      <c r="T123" s="3"/>
      <c r="U123" s="3">
        <v>59229</v>
      </c>
      <c r="V123" s="3"/>
      <c r="W123" s="3">
        <v>729115</v>
      </c>
      <c r="X123" s="3"/>
      <c r="Y123" s="3">
        <v>460589</v>
      </c>
      <c r="Z123" s="3"/>
      <c r="AA123" s="3">
        <v>45163</v>
      </c>
      <c r="AB123" s="3"/>
      <c r="AC123" s="3">
        <v>411552</v>
      </c>
      <c r="AD123" s="3"/>
      <c r="AE123" s="3" t="s">
        <v>420</v>
      </c>
      <c r="AG123" s="16" t="s">
        <v>200</v>
      </c>
      <c r="AH123" s="3"/>
      <c r="AI123" s="3">
        <v>0</v>
      </c>
      <c r="AJ123" s="3"/>
      <c r="AK123" s="3">
        <v>198113</v>
      </c>
      <c r="AL123" s="3"/>
      <c r="AM123" s="3">
        <v>0</v>
      </c>
      <c r="AN123" s="3"/>
      <c r="AO123" s="3">
        <v>0</v>
      </c>
      <c r="AP123" s="3"/>
      <c r="AQ123" s="3">
        <v>0</v>
      </c>
      <c r="AR123" s="3"/>
      <c r="AS123" s="3">
        <v>55936</v>
      </c>
      <c r="AT123" s="3"/>
      <c r="AU123" s="3">
        <v>0</v>
      </c>
      <c r="AV123" s="3"/>
      <c r="AW123" s="3">
        <v>0</v>
      </c>
      <c r="AX123" s="3"/>
      <c r="AY123" s="3">
        <v>72407</v>
      </c>
      <c r="AZ123" s="3"/>
      <c r="BA123" s="3">
        <v>43172</v>
      </c>
      <c r="BB123" s="3"/>
      <c r="BC123" s="3">
        <v>0</v>
      </c>
      <c r="BD123" s="3"/>
      <c r="BE123" s="17">
        <f t="shared" si="13"/>
        <v>14901839</v>
      </c>
      <c r="BF123" s="3" t="s">
        <v>420</v>
      </c>
      <c r="BH123" s="16" t="s">
        <v>200</v>
      </c>
      <c r="BI123" s="3"/>
      <c r="BJ123" s="3">
        <v>0</v>
      </c>
      <c r="BK123" s="3"/>
      <c r="BL123" s="3">
        <v>0</v>
      </c>
      <c r="BM123" s="3"/>
      <c r="BN123" s="3">
        <v>0</v>
      </c>
      <c r="BO123" s="3"/>
      <c r="BP123" s="3">
        <v>0</v>
      </c>
      <c r="BQ123" s="3"/>
      <c r="BR123" s="17">
        <f t="shared" si="26"/>
        <v>14901839</v>
      </c>
      <c r="BS123" s="3"/>
      <c r="BT123" s="17">
        <f>GovRev!AV123-BR123</f>
        <v>282340</v>
      </c>
      <c r="BU123" s="3"/>
      <c r="BV123" s="3">
        <v>5699133</v>
      </c>
      <c r="BW123" s="3"/>
      <c r="BX123" s="3">
        <v>0</v>
      </c>
      <c r="BY123" s="3"/>
      <c r="BZ123" s="17">
        <f t="shared" si="22"/>
        <v>5981473</v>
      </c>
      <c r="CA123" s="17"/>
      <c r="CB123" s="17">
        <f>-BZ123+GovBS!AE123</f>
        <v>0</v>
      </c>
      <c r="CE123" s="32" t="s">
        <v>305</v>
      </c>
      <c r="CF123" s="3" t="str">
        <f t="shared" si="19"/>
        <v>Summit County Educ Srv Ctr</v>
      </c>
      <c r="CG123" s="3" t="b">
        <f t="shared" si="14"/>
        <v>1</v>
      </c>
      <c r="CH123" s="3" t="b">
        <f t="shared" si="15"/>
        <v>1</v>
      </c>
      <c r="CI123" s="20" t="str">
        <f>GovRev!A123</f>
        <v>Summit County Educ Srv Ctr</v>
      </c>
      <c r="CJ123" s="20" t="b">
        <f t="shared" si="23"/>
        <v>1</v>
      </c>
      <c r="CL123" s="20" t="str">
        <f t="shared" si="16"/>
        <v>Summit</v>
      </c>
      <c r="CM123" s="20" t="b">
        <f t="shared" si="17"/>
        <v>1</v>
      </c>
      <c r="CN123" s="20" t="b">
        <f t="shared" si="18"/>
        <v>1</v>
      </c>
      <c r="CP123" s="16" t="b">
        <f>C123=GovRev!C123</f>
        <v>1</v>
      </c>
    </row>
    <row r="124" spans="1:94" s="16" customFormat="1">
      <c r="A124" s="3" t="s">
        <v>207</v>
      </c>
      <c r="C124" s="16" t="s">
        <v>208</v>
      </c>
      <c r="E124" s="16">
        <v>50526</v>
      </c>
      <c r="G124" s="3">
        <v>470269</v>
      </c>
      <c r="H124" s="3"/>
      <c r="I124" s="3">
        <v>2763437</v>
      </c>
      <c r="J124" s="3"/>
      <c r="K124" s="3">
        <v>0</v>
      </c>
      <c r="L124" s="3"/>
      <c r="M124" s="32">
        <v>74957</v>
      </c>
      <c r="N124" s="3"/>
      <c r="O124" s="3">
        <v>0</v>
      </c>
      <c r="P124" s="3"/>
      <c r="Q124" s="3">
        <v>4060649</v>
      </c>
      <c r="R124" s="3"/>
      <c r="S124" s="3">
        <v>2071604</v>
      </c>
      <c r="T124" s="3"/>
      <c r="U124" s="3">
        <v>43489</v>
      </c>
      <c r="V124" s="3"/>
      <c r="W124" s="3">
        <v>1139927</v>
      </c>
      <c r="X124" s="3"/>
      <c r="Y124" s="3">
        <v>348648</v>
      </c>
      <c r="Z124" s="3"/>
      <c r="AA124" s="3">
        <v>156550</v>
      </c>
      <c r="AB124" s="3"/>
      <c r="AC124" s="3">
        <v>262634</v>
      </c>
      <c r="AD124" s="3"/>
      <c r="AE124" s="3" t="s">
        <v>207</v>
      </c>
      <c r="AG124" s="16" t="s">
        <v>208</v>
      </c>
      <c r="AH124" s="3"/>
      <c r="AI124" s="3">
        <v>203451</v>
      </c>
      <c r="AJ124" s="3"/>
      <c r="AK124" s="3">
        <v>1958185</v>
      </c>
      <c r="AL124" s="3"/>
      <c r="AM124" s="3">
        <v>0</v>
      </c>
      <c r="AN124" s="3"/>
      <c r="AO124" s="3">
        <v>0</v>
      </c>
      <c r="AP124" s="3"/>
      <c r="AQ124" s="3">
        <v>751154</v>
      </c>
      <c r="AR124" s="3"/>
      <c r="AS124" s="3">
        <v>0</v>
      </c>
      <c r="AT124" s="3"/>
      <c r="AU124" s="3">
        <v>0</v>
      </c>
      <c r="AV124" s="3"/>
      <c r="AW124" s="3">
        <v>0</v>
      </c>
      <c r="AX124" s="3"/>
      <c r="AY124" s="3">
        <v>0</v>
      </c>
      <c r="AZ124" s="3"/>
      <c r="BA124" s="3">
        <v>0</v>
      </c>
      <c r="BB124" s="3"/>
      <c r="BC124" s="3">
        <v>0</v>
      </c>
      <c r="BD124" s="3"/>
      <c r="BE124" s="17">
        <f t="shared" si="13"/>
        <v>14304954</v>
      </c>
      <c r="BF124" s="3" t="s">
        <v>207</v>
      </c>
      <c r="BH124" s="16" t="s">
        <v>208</v>
      </c>
      <c r="BI124" s="3"/>
      <c r="BJ124" s="3">
        <v>14302</v>
      </c>
      <c r="BK124" s="3"/>
      <c r="BL124" s="3">
        <v>0</v>
      </c>
      <c r="BM124" s="3"/>
      <c r="BN124" s="3">
        <v>0</v>
      </c>
      <c r="BO124" s="3"/>
      <c r="BP124" s="3">
        <v>0</v>
      </c>
      <c r="BQ124" s="3"/>
      <c r="BR124" s="17">
        <f t="shared" si="26"/>
        <v>14319256</v>
      </c>
      <c r="BS124" s="3"/>
      <c r="BT124" s="17">
        <f>GovRev!AV124-BR124</f>
        <v>225120</v>
      </c>
      <c r="BU124" s="3"/>
      <c r="BV124" s="3">
        <v>1380800</v>
      </c>
      <c r="BW124" s="3"/>
      <c r="BX124" s="3">
        <v>0</v>
      </c>
      <c r="BY124" s="3"/>
      <c r="BZ124" s="17">
        <f t="shared" si="22"/>
        <v>1605920</v>
      </c>
      <c r="CA124" s="17"/>
      <c r="CB124" s="17">
        <f>-BZ124+GovBS!AE124</f>
        <v>0</v>
      </c>
      <c r="CE124" s="32"/>
      <c r="CF124" s="3" t="str">
        <f t="shared" si="19"/>
        <v>Tri-County Educ Srv Ctr</v>
      </c>
      <c r="CG124" s="3" t="b">
        <f t="shared" si="14"/>
        <v>1</v>
      </c>
      <c r="CH124" s="3" t="b">
        <f t="shared" si="15"/>
        <v>1</v>
      </c>
      <c r="CI124" s="20" t="str">
        <f>GovRev!A124</f>
        <v>Tri-County Educ Srv Ctr</v>
      </c>
      <c r="CJ124" s="20" t="b">
        <f t="shared" si="23"/>
        <v>1</v>
      </c>
      <c r="CL124" s="20" t="str">
        <f t="shared" si="16"/>
        <v>Wayne</v>
      </c>
      <c r="CM124" s="20" t="b">
        <f t="shared" si="17"/>
        <v>1</v>
      </c>
      <c r="CN124" s="20" t="b">
        <f t="shared" si="18"/>
        <v>1</v>
      </c>
      <c r="CP124" s="16" t="b">
        <f>C124=GovRev!C124</f>
        <v>1</v>
      </c>
    </row>
    <row r="125" spans="1:94" s="16" customFormat="1">
      <c r="A125" s="3" t="s">
        <v>422</v>
      </c>
      <c r="C125" s="16" t="s">
        <v>201</v>
      </c>
      <c r="E125" s="16">
        <v>50088</v>
      </c>
      <c r="G125" s="3">
        <v>584807</v>
      </c>
      <c r="H125" s="3"/>
      <c r="I125" s="3">
        <v>6139018</v>
      </c>
      <c r="J125" s="3"/>
      <c r="K125" s="3">
        <v>0</v>
      </c>
      <c r="L125" s="3"/>
      <c r="M125" s="32">
        <v>0</v>
      </c>
      <c r="N125" s="3"/>
      <c r="O125" s="3">
        <v>0</v>
      </c>
      <c r="P125" s="3"/>
      <c r="Q125" s="3">
        <v>4158496</v>
      </c>
      <c r="R125" s="3"/>
      <c r="S125" s="3">
        <v>2163397</v>
      </c>
      <c r="T125" s="3"/>
      <c r="U125" s="3">
        <v>90563</v>
      </c>
      <c r="V125" s="3"/>
      <c r="W125" s="3">
        <v>2599833</v>
      </c>
      <c r="X125" s="3"/>
      <c r="Y125" s="3">
        <v>296262</v>
      </c>
      <c r="Z125" s="3"/>
      <c r="AA125" s="3">
        <v>37346</v>
      </c>
      <c r="AB125" s="3"/>
      <c r="AC125" s="3">
        <v>189020</v>
      </c>
      <c r="AD125" s="3"/>
      <c r="AE125" s="3" t="s">
        <v>422</v>
      </c>
      <c r="AG125" s="16" t="s">
        <v>201</v>
      </c>
      <c r="AH125" s="3"/>
      <c r="AI125" s="3">
        <v>24122</v>
      </c>
      <c r="AJ125" s="3"/>
      <c r="AK125" s="3">
        <v>3000</v>
      </c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v>0</v>
      </c>
      <c r="AT125" s="3"/>
      <c r="AU125" s="3">
        <f>10493+41231</f>
        <v>51724</v>
      </c>
      <c r="AV125" s="3"/>
      <c r="AW125" s="3">
        <v>0</v>
      </c>
      <c r="AX125" s="3"/>
      <c r="AY125" s="3">
        <v>6719</v>
      </c>
      <c r="AZ125" s="3"/>
      <c r="BA125" s="3">
        <v>1971</v>
      </c>
      <c r="BB125" s="3"/>
      <c r="BC125" s="3">
        <v>0</v>
      </c>
      <c r="BD125" s="3"/>
      <c r="BE125" s="17">
        <f t="shared" si="13"/>
        <v>16346278</v>
      </c>
      <c r="BF125" s="3" t="s">
        <v>422</v>
      </c>
      <c r="BH125" s="16" t="s">
        <v>201</v>
      </c>
      <c r="BI125" s="3"/>
      <c r="BJ125" s="3">
        <v>0</v>
      </c>
      <c r="BK125" s="3"/>
      <c r="BL125" s="3">
        <v>0</v>
      </c>
      <c r="BM125" s="3"/>
      <c r="BN125" s="3">
        <v>0</v>
      </c>
      <c r="BO125" s="3"/>
      <c r="BP125" s="3">
        <v>0</v>
      </c>
      <c r="BQ125" s="3"/>
      <c r="BR125" s="17">
        <f t="shared" si="26"/>
        <v>16346278</v>
      </c>
      <c r="BS125" s="3"/>
      <c r="BT125" s="17">
        <f>GovRev!AV125-BR125</f>
        <v>-349894</v>
      </c>
      <c r="BU125" s="3"/>
      <c r="BV125" s="3">
        <v>4625502</v>
      </c>
      <c r="BW125" s="3"/>
      <c r="BX125" s="3">
        <v>0</v>
      </c>
      <c r="BY125" s="3"/>
      <c r="BZ125" s="17">
        <f t="shared" si="22"/>
        <v>4275608</v>
      </c>
      <c r="CA125" s="17"/>
      <c r="CB125" s="17">
        <f>-BZ125+GovBS!AE125</f>
        <v>0</v>
      </c>
      <c r="CE125" s="3"/>
      <c r="CF125" s="3" t="str">
        <f t="shared" si="19"/>
        <v>Trumbull County Educ Srv Ctr</v>
      </c>
      <c r="CG125" s="3" t="b">
        <f t="shared" si="14"/>
        <v>1</v>
      </c>
      <c r="CH125" s="3" t="b">
        <f t="shared" si="15"/>
        <v>1</v>
      </c>
      <c r="CI125" s="20" t="str">
        <f>GovRev!A125</f>
        <v>Trumbull County Educ Srv Ctr</v>
      </c>
      <c r="CJ125" s="20" t="b">
        <f t="shared" si="23"/>
        <v>1</v>
      </c>
      <c r="CL125" s="20" t="str">
        <f t="shared" si="16"/>
        <v>Trumbull</v>
      </c>
      <c r="CM125" s="20" t="b">
        <f t="shared" si="17"/>
        <v>1</v>
      </c>
      <c r="CN125" s="20" t="b">
        <f t="shared" si="18"/>
        <v>1</v>
      </c>
      <c r="CP125" s="16" t="b">
        <f>C125=GovRev!C125</f>
        <v>1</v>
      </c>
    </row>
    <row r="126" spans="1:94" s="66" customFormat="1" hidden="1">
      <c r="A126" s="65" t="s">
        <v>342</v>
      </c>
      <c r="C126" s="66" t="s">
        <v>202</v>
      </c>
      <c r="E126" s="66">
        <v>50260</v>
      </c>
      <c r="G126" s="65"/>
      <c r="H126" s="65"/>
      <c r="I126" s="65"/>
      <c r="J126" s="65"/>
      <c r="K126" s="65"/>
      <c r="L126" s="65"/>
      <c r="M126" s="80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 t="s">
        <v>342</v>
      </c>
      <c r="AG126" s="66" t="s">
        <v>202</v>
      </c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7">
        <f t="shared" si="13"/>
        <v>0</v>
      </c>
      <c r="BF126" s="65" t="s">
        <v>342</v>
      </c>
      <c r="BH126" s="66" t="s">
        <v>202</v>
      </c>
      <c r="BI126" s="65"/>
      <c r="BJ126" s="65"/>
      <c r="BK126" s="65"/>
      <c r="BL126" s="65"/>
      <c r="BM126" s="65"/>
      <c r="BN126" s="65"/>
      <c r="BO126" s="65"/>
      <c r="BP126" s="65"/>
      <c r="BQ126" s="65"/>
      <c r="BR126" s="67">
        <f t="shared" si="26"/>
        <v>0</v>
      </c>
      <c r="BS126" s="65"/>
      <c r="BT126" s="67">
        <f>GovRev!AV126-BR126</f>
        <v>0</v>
      </c>
      <c r="BU126" s="65"/>
      <c r="BV126" s="65"/>
      <c r="BW126" s="65"/>
      <c r="BX126" s="65"/>
      <c r="BY126" s="65"/>
      <c r="BZ126" s="67">
        <f t="shared" si="22"/>
        <v>0</v>
      </c>
      <c r="CA126" s="67"/>
      <c r="CB126" s="67">
        <f>-BZ126+GovBS!AE126</f>
        <v>0</v>
      </c>
      <c r="CE126" s="65"/>
      <c r="CF126" s="65" t="str">
        <f t="shared" si="19"/>
        <v>Tuscarawas-Carroll-Harrison Educ Srv Ctr - now East Ctl OH ESC</v>
      </c>
      <c r="CG126" s="65" t="b">
        <f t="shared" si="14"/>
        <v>1</v>
      </c>
      <c r="CH126" s="65" t="b">
        <f t="shared" si="15"/>
        <v>1</v>
      </c>
      <c r="CI126" s="68" t="str">
        <f>GovRev!A126</f>
        <v>Tuscarawas-Carroll-Harrison Educ Srv Ctr - now East Ctl OH ESC</v>
      </c>
      <c r="CJ126" s="68" t="b">
        <f t="shared" si="23"/>
        <v>1</v>
      </c>
      <c r="CL126" s="68" t="str">
        <f t="shared" si="16"/>
        <v>Tuscarawas</v>
      </c>
      <c r="CM126" s="68" t="b">
        <f t="shared" si="17"/>
        <v>1</v>
      </c>
      <c r="CN126" s="68" t="b">
        <f t="shared" si="18"/>
        <v>1</v>
      </c>
      <c r="CP126" s="66" t="b">
        <f>C126=GovRev!C126</f>
        <v>1</v>
      </c>
    </row>
    <row r="127" spans="1:94" s="66" customFormat="1" hidden="1">
      <c r="A127" s="65" t="s">
        <v>424</v>
      </c>
      <c r="C127" s="66" t="s">
        <v>205</v>
      </c>
      <c r="E127" s="66">
        <v>50401</v>
      </c>
      <c r="G127" s="65"/>
      <c r="H127" s="65"/>
      <c r="I127" s="65"/>
      <c r="J127" s="65"/>
      <c r="K127" s="65"/>
      <c r="L127" s="65"/>
      <c r="M127" s="80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 t="s">
        <v>424</v>
      </c>
      <c r="AG127" s="66" t="s">
        <v>205</v>
      </c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7">
        <f t="shared" si="13"/>
        <v>0</v>
      </c>
      <c r="BF127" s="65" t="s">
        <v>424</v>
      </c>
      <c r="BH127" s="66" t="s">
        <v>205</v>
      </c>
      <c r="BI127" s="65"/>
      <c r="BJ127" s="65"/>
      <c r="BK127" s="65"/>
      <c r="BL127" s="65"/>
      <c r="BM127" s="65"/>
      <c r="BN127" s="65"/>
      <c r="BO127" s="65"/>
      <c r="BP127" s="65"/>
      <c r="BQ127" s="65"/>
      <c r="BR127" s="67">
        <f t="shared" si="26"/>
        <v>0</v>
      </c>
      <c r="BS127" s="65"/>
      <c r="BT127" s="67">
        <f>GovRev!AV127-BR127</f>
        <v>0</v>
      </c>
      <c r="BU127" s="65"/>
      <c r="BV127" s="65"/>
      <c r="BW127" s="65"/>
      <c r="BX127" s="65"/>
      <c r="BY127" s="65"/>
      <c r="BZ127" s="67">
        <f t="shared" si="22"/>
        <v>0</v>
      </c>
      <c r="CA127" s="65"/>
      <c r="CB127" s="67">
        <f>-BZ127+GovBS!AE127</f>
        <v>0</v>
      </c>
      <c r="CE127" s="80" t="s">
        <v>410</v>
      </c>
      <c r="CF127" s="65" t="str">
        <f t="shared" si="19"/>
        <v>Warren County Educ Srv Ctr (CASH)</v>
      </c>
      <c r="CG127" s="65" t="b">
        <f t="shared" si="14"/>
        <v>1</v>
      </c>
      <c r="CH127" s="65" t="b">
        <f t="shared" si="15"/>
        <v>1</v>
      </c>
      <c r="CI127" s="68" t="str">
        <f>GovRev!A127</f>
        <v>Warren County Educ Srv Ctr (CASH)</v>
      </c>
      <c r="CJ127" s="68" t="b">
        <f t="shared" si="23"/>
        <v>1</v>
      </c>
      <c r="CL127" s="68" t="str">
        <f t="shared" si="16"/>
        <v>Warren</v>
      </c>
      <c r="CM127" s="68" t="b">
        <f t="shared" si="17"/>
        <v>1</v>
      </c>
      <c r="CN127" s="68" t="b">
        <f t="shared" si="18"/>
        <v>1</v>
      </c>
      <c r="CP127" s="66" t="b">
        <f>C127=GovRev!C127</f>
        <v>1</v>
      </c>
    </row>
    <row r="128" spans="1:94" s="66" customFormat="1" hidden="1">
      <c r="A128" s="65" t="s">
        <v>343</v>
      </c>
      <c r="C128" s="66" t="s">
        <v>206</v>
      </c>
      <c r="E128" s="66">
        <v>50476</v>
      </c>
      <c r="G128" s="65"/>
      <c r="H128" s="65"/>
      <c r="I128" s="65"/>
      <c r="J128" s="65"/>
      <c r="K128" s="65"/>
      <c r="L128" s="65"/>
      <c r="M128" s="80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E128" s="65" t="s">
        <v>343</v>
      </c>
      <c r="AG128" s="66" t="s">
        <v>206</v>
      </c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7">
        <f t="shared" si="13"/>
        <v>0</v>
      </c>
      <c r="BF128" s="65" t="s">
        <v>343</v>
      </c>
      <c r="BH128" s="66" t="s">
        <v>206</v>
      </c>
      <c r="BJ128" s="65"/>
      <c r="BK128" s="65"/>
      <c r="BL128" s="65"/>
      <c r="BM128" s="65"/>
      <c r="BN128" s="65"/>
      <c r="BO128" s="65"/>
      <c r="BP128" s="65"/>
      <c r="BQ128" s="65"/>
      <c r="BR128" s="67">
        <f t="shared" si="26"/>
        <v>0</v>
      </c>
      <c r="BS128" s="65"/>
      <c r="BT128" s="67">
        <f>GovRev!AV128-BR128</f>
        <v>0</v>
      </c>
      <c r="BU128" s="65"/>
      <c r="BV128" s="65"/>
      <c r="BW128" s="65"/>
      <c r="BX128" s="65"/>
      <c r="BY128" s="65"/>
      <c r="BZ128" s="67">
        <f t="shared" si="22"/>
        <v>0</v>
      </c>
      <c r="CA128" s="67"/>
      <c r="CB128" s="67">
        <f>-BZ128+GovBS!AE128</f>
        <v>0</v>
      </c>
      <c r="CF128" s="65" t="str">
        <f t="shared" si="19"/>
        <v>Washington Educ Srv Ctr - merged with Ohio Valley ESC</v>
      </c>
      <c r="CG128" s="65" t="b">
        <f t="shared" si="14"/>
        <v>1</v>
      </c>
      <c r="CH128" s="65" t="b">
        <f t="shared" si="15"/>
        <v>1</v>
      </c>
      <c r="CI128" s="68" t="str">
        <f>GovRev!A128</f>
        <v>Washington Educ Srv Ctr - merged with Ohio Valley ESC</v>
      </c>
      <c r="CJ128" s="68" t="b">
        <f t="shared" si="23"/>
        <v>1</v>
      </c>
      <c r="CL128" s="68" t="str">
        <f t="shared" si="16"/>
        <v>Washington</v>
      </c>
      <c r="CM128" s="68" t="b">
        <f t="shared" si="17"/>
        <v>1</v>
      </c>
      <c r="CN128" s="68" t="b">
        <f t="shared" si="18"/>
        <v>1</v>
      </c>
      <c r="CP128" s="66" t="b">
        <f>C128=GovRev!C128</f>
        <v>1</v>
      </c>
    </row>
    <row r="129" spans="1:94" s="16" customFormat="1">
      <c r="A129" s="3" t="s">
        <v>203</v>
      </c>
      <c r="C129" s="16" t="s">
        <v>270</v>
      </c>
      <c r="E129" s="16">
        <v>134999</v>
      </c>
      <c r="G129" s="3">
        <v>457298</v>
      </c>
      <c r="H129" s="3"/>
      <c r="I129" s="3">
        <v>1329939</v>
      </c>
      <c r="J129" s="3"/>
      <c r="K129" s="3">
        <v>0</v>
      </c>
      <c r="L129" s="3"/>
      <c r="M129" s="32">
        <v>0</v>
      </c>
      <c r="N129" s="3"/>
      <c r="O129" s="3">
        <v>0</v>
      </c>
      <c r="P129" s="3"/>
      <c r="Q129" s="3">
        <v>1155167</v>
      </c>
      <c r="R129" s="3"/>
      <c r="S129" s="3">
        <v>1192131</v>
      </c>
      <c r="T129" s="3"/>
      <c r="U129" s="3">
        <v>51413</v>
      </c>
      <c r="V129" s="3"/>
      <c r="W129" s="3">
        <v>492933</v>
      </c>
      <c r="X129" s="3"/>
      <c r="Y129" s="3">
        <v>95472</v>
      </c>
      <c r="Z129" s="3"/>
      <c r="AA129" s="3">
        <v>0</v>
      </c>
      <c r="AB129" s="3"/>
      <c r="AC129" s="3">
        <v>28601</v>
      </c>
      <c r="AD129" s="3"/>
      <c r="AE129" s="3" t="s">
        <v>203</v>
      </c>
      <c r="AG129" s="16" t="s">
        <v>270</v>
      </c>
      <c r="AH129" s="3"/>
      <c r="AI129" s="3">
        <v>0</v>
      </c>
      <c r="AJ129" s="3"/>
      <c r="AK129" s="3">
        <v>41064</v>
      </c>
      <c r="AL129" s="3"/>
      <c r="AM129" s="3">
        <v>0</v>
      </c>
      <c r="AN129" s="3"/>
      <c r="AO129" s="3">
        <v>0</v>
      </c>
      <c r="AP129" s="3"/>
      <c r="AQ129" s="3">
        <v>445</v>
      </c>
      <c r="AR129" s="3"/>
      <c r="AS129" s="3">
        <v>413405</v>
      </c>
      <c r="AT129" s="3"/>
      <c r="AU129" s="3">
        <v>0</v>
      </c>
      <c r="AV129" s="3"/>
      <c r="AW129" s="3">
        <v>0</v>
      </c>
      <c r="AX129" s="3"/>
      <c r="AY129" s="3">
        <v>0</v>
      </c>
      <c r="AZ129" s="3"/>
      <c r="BA129" s="3">
        <v>0</v>
      </c>
      <c r="BB129" s="3"/>
      <c r="BC129" s="3">
        <v>0</v>
      </c>
      <c r="BD129" s="3"/>
      <c r="BE129" s="17">
        <f>SUM(G129:BC129)</f>
        <v>5257868</v>
      </c>
      <c r="BF129" s="3" t="s">
        <v>203</v>
      </c>
      <c r="BH129" s="16" t="s">
        <v>270</v>
      </c>
      <c r="BI129" s="3"/>
      <c r="BJ129" s="3">
        <v>0</v>
      </c>
      <c r="BK129" s="3"/>
      <c r="BL129" s="3">
        <v>0</v>
      </c>
      <c r="BM129" s="3"/>
      <c r="BN129" s="3">
        <v>0</v>
      </c>
      <c r="BO129" s="3"/>
      <c r="BP129" s="3">
        <v>0</v>
      </c>
      <c r="BQ129" s="3"/>
      <c r="BR129" s="17">
        <f>+BE129+BJ129+BL129+BP129+BN129</f>
        <v>5257868</v>
      </c>
      <c r="BS129" s="3"/>
      <c r="BT129" s="17">
        <f>GovRev!AV129-BR129</f>
        <v>-160591</v>
      </c>
      <c r="BU129" s="3"/>
      <c r="BV129" s="3">
        <v>435604</v>
      </c>
      <c r="BW129" s="3"/>
      <c r="BX129" s="3">
        <v>0</v>
      </c>
      <c r="BY129" s="3"/>
      <c r="BZ129" s="17">
        <f t="shared" si="22"/>
        <v>275013</v>
      </c>
      <c r="CA129" s="17"/>
      <c r="CB129" s="17">
        <f>-BZ129+GovBS!AE129</f>
        <v>0</v>
      </c>
      <c r="CE129" s="3"/>
      <c r="CF129" s="3" t="str">
        <f t="shared" si="19"/>
        <v>Western Buckeye Educ Srv Ctr</v>
      </c>
      <c r="CG129" s="3" t="b">
        <f t="shared" si="14"/>
        <v>1</v>
      </c>
      <c r="CH129" s="3" t="b">
        <f t="shared" si="15"/>
        <v>1</v>
      </c>
      <c r="CI129" s="20" t="str">
        <f>GovRev!A129</f>
        <v>Western Buckeye Educ Srv Ctr</v>
      </c>
      <c r="CJ129" s="20" t="b">
        <f t="shared" si="23"/>
        <v>1</v>
      </c>
      <c r="CL129" s="20" t="str">
        <f t="shared" si="16"/>
        <v>Paulding</v>
      </c>
      <c r="CM129" s="20" t="b">
        <f t="shared" si="17"/>
        <v>1</v>
      </c>
      <c r="CN129" s="20" t="b">
        <f t="shared" si="18"/>
        <v>1</v>
      </c>
      <c r="CP129" s="16" t="b">
        <f>C129=GovRev!C129</f>
        <v>1</v>
      </c>
    </row>
    <row r="130" spans="1:94" s="16" customFormat="1">
      <c r="A130" s="3" t="s">
        <v>423</v>
      </c>
      <c r="C130" s="16" t="s">
        <v>209</v>
      </c>
      <c r="E130" s="16">
        <v>50666</v>
      </c>
      <c r="G130" s="3">
        <v>1705895</v>
      </c>
      <c r="H130" s="3"/>
      <c r="I130" s="3">
        <v>4900954</v>
      </c>
      <c r="J130" s="3"/>
      <c r="K130" s="3">
        <v>0</v>
      </c>
      <c r="L130" s="3"/>
      <c r="M130" s="32">
        <v>14187</v>
      </c>
      <c r="N130" s="3"/>
      <c r="O130" s="3">
        <v>0</v>
      </c>
      <c r="P130" s="3"/>
      <c r="Q130" s="3">
        <v>3075660</v>
      </c>
      <c r="R130" s="3"/>
      <c r="S130" s="3">
        <v>3405637</v>
      </c>
      <c r="T130" s="3"/>
      <c r="U130" s="3">
        <v>30196</v>
      </c>
      <c r="V130" s="3"/>
      <c r="W130" s="3">
        <v>1861370</v>
      </c>
      <c r="X130" s="3"/>
      <c r="Y130" s="3">
        <v>753815</v>
      </c>
      <c r="Z130" s="3"/>
      <c r="AA130" s="3">
        <v>0</v>
      </c>
      <c r="AB130" s="3"/>
      <c r="AC130" s="3">
        <v>116782</v>
      </c>
      <c r="AD130" s="3"/>
      <c r="AE130" s="3" t="s">
        <v>423</v>
      </c>
      <c r="AG130" s="16" t="s">
        <v>209</v>
      </c>
      <c r="AH130" s="3"/>
      <c r="AI130" s="3">
        <v>67298</v>
      </c>
      <c r="AJ130" s="3"/>
      <c r="AK130" s="3">
        <v>461132</v>
      </c>
      <c r="AL130" s="3"/>
      <c r="AM130" s="3">
        <v>0</v>
      </c>
      <c r="AN130" s="3"/>
      <c r="AO130" s="3">
        <v>0</v>
      </c>
      <c r="AP130" s="3"/>
      <c r="AQ130" s="3">
        <v>20080</v>
      </c>
      <c r="AR130" s="3"/>
      <c r="AS130" s="3">
        <v>0</v>
      </c>
      <c r="AT130" s="3"/>
      <c r="AU130" s="3">
        <v>0</v>
      </c>
      <c r="AV130" s="3"/>
      <c r="AW130" s="3">
        <v>149410</v>
      </c>
      <c r="AX130" s="3"/>
      <c r="AY130" s="3">
        <v>0</v>
      </c>
      <c r="AZ130" s="3"/>
      <c r="BA130" s="3">
        <v>0</v>
      </c>
      <c r="BB130" s="3"/>
      <c r="BC130" s="3">
        <v>0</v>
      </c>
      <c r="BD130" s="3"/>
      <c r="BE130" s="17">
        <f t="shared" si="13"/>
        <v>16562416</v>
      </c>
      <c r="BF130" s="3" t="s">
        <v>423</v>
      </c>
      <c r="BH130" s="16" t="s">
        <v>209</v>
      </c>
      <c r="BI130" s="3"/>
      <c r="BJ130" s="3">
        <v>0</v>
      </c>
      <c r="BK130" s="3"/>
      <c r="BL130" s="3">
        <v>0</v>
      </c>
      <c r="BM130" s="3"/>
      <c r="BN130" s="3">
        <v>0</v>
      </c>
      <c r="BO130" s="3"/>
      <c r="BP130" s="3">
        <v>0</v>
      </c>
      <c r="BQ130" s="3"/>
      <c r="BR130" s="17">
        <f t="shared" si="26"/>
        <v>16562416</v>
      </c>
      <c r="BS130" s="3"/>
      <c r="BT130" s="17">
        <f>GovRev!AV130-BR130</f>
        <v>-17972</v>
      </c>
      <c r="BU130" s="3"/>
      <c r="BV130" s="3">
        <v>4758823</v>
      </c>
      <c r="BW130" s="3"/>
      <c r="BX130" s="3">
        <v>0</v>
      </c>
      <c r="BY130" s="3"/>
      <c r="BZ130" s="17">
        <f t="shared" si="22"/>
        <v>4740851</v>
      </c>
      <c r="CA130" s="17"/>
      <c r="CB130" s="17">
        <f>-BZ130+GovBS!AE130</f>
        <v>0</v>
      </c>
      <c r="CE130" s="3"/>
      <c r="CF130" s="3" t="str">
        <f t="shared" si="19"/>
        <v>Wood County Educ Srv Ctr</v>
      </c>
      <c r="CG130" s="3" t="b">
        <f t="shared" si="14"/>
        <v>1</v>
      </c>
      <c r="CH130" s="3" t="b">
        <f t="shared" si="15"/>
        <v>1</v>
      </c>
      <c r="CI130" s="20" t="str">
        <f>GovRev!A130</f>
        <v>Wood County Educ Srv Ctr</v>
      </c>
      <c r="CJ130" s="20" t="b">
        <f t="shared" si="23"/>
        <v>1</v>
      </c>
      <c r="CL130" s="20" t="str">
        <f t="shared" si="16"/>
        <v>Wood</v>
      </c>
      <c r="CM130" s="20" t="b">
        <f t="shared" si="17"/>
        <v>1</v>
      </c>
      <c r="CN130" s="20" t="b">
        <f t="shared" si="18"/>
        <v>1</v>
      </c>
      <c r="CP130" s="16" t="b">
        <f>C130=GovRev!C130</f>
        <v>1</v>
      </c>
    </row>
    <row r="131" spans="1:94" s="16" customFormat="1">
      <c r="M131" s="32"/>
    </row>
    <row r="132" spans="1:94" s="16" customForma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64"/>
      <c r="M132" s="32"/>
      <c r="AC132" s="39" t="s">
        <v>266</v>
      </c>
      <c r="AK132" s="39"/>
      <c r="AQ132" s="39"/>
      <c r="BE132" s="39" t="s">
        <v>266</v>
      </c>
    </row>
    <row r="133" spans="1:94" s="16" customFormat="1">
      <c r="M133" s="32"/>
    </row>
    <row r="139" spans="1:94">
      <c r="G139" s="3"/>
      <c r="H139" s="3"/>
      <c r="I139" s="3"/>
      <c r="J139" s="3"/>
      <c r="K139" s="3"/>
      <c r="L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6"/>
      <c r="AF139" s="16"/>
      <c r="AG139" s="16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17"/>
      <c r="BF139" s="16"/>
      <c r="BG139" s="16"/>
      <c r="BH139" s="16"/>
      <c r="BI139" s="3"/>
      <c r="BJ139" s="3"/>
      <c r="BK139" s="3"/>
      <c r="BL139" s="3">
        <v>0</v>
      </c>
      <c r="BM139" s="3"/>
      <c r="BN139" s="3">
        <v>0</v>
      </c>
      <c r="BO139" s="3"/>
      <c r="BP139" s="3"/>
      <c r="BQ139" s="3"/>
      <c r="BR139" s="17"/>
      <c r="BS139" s="3"/>
      <c r="BT139" s="17"/>
      <c r="BU139" s="3"/>
      <c r="BV139" s="3"/>
      <c r="BW139" s="3"/>
      <c r="BX139" s="3"/>
      <c r="BY139" s="3"/>
      <c r="BZ139" s="17"/>
    </row>
    <row r="142" spans="1:94">
      <c r="M142" s="79"/>
    </row>
    <row r="143" spans="1:94">
      <c r="M143" s="80"/>
    </row>
    <row r="144" spans="1:94">
      <c r="M144" s="80"/>
    </row>
    <row r="145" spans="13:13">
      <c r="M145" s="79"/>
    </row>
    <row r="146" spans="13:13">
      <c r="M146" s="79">
        <v>18154</v>
      </c>
    </row>
    <row r="147" spans="13:13">
      <c r="M147" s="79"/>
    </row>
    <row r="148" spans="13:13">
      <c r="M148" s="80"/>
    </row>
    <row r="178" spans="13:13">
      <c r="M178" s="78"/>
    </row>
    <row r="261" spans="13:13">
      <c r="M261" s="78"/>
    </row>
    <row r="343" spans="13:13">
      <c r="M343" s="78"/>
    </row>
    <row r="433" spans="13:13">
      <c r="M433" s="78"/>
    </row>
    <row r="514" spans="13:13">
      <c r="M514" s="78"/>
    </row>
    <row r="595" spans="13:13">
      <c r="M595" s="78"/>
    </row>
  </sheetData>
  <mergeCells count="6">
    <mergeCell ref="AO7:AQ7"/>
    <mergeCell ref="Q7:AD7"/>
    <mergeCell ref="A132:K132"/>
    <mergeCell ref="A66:K66"/>
    <mergeCell ref="G7:M7"/>
    <mergeCell ref="AI7:AK7"/>
  </mergeCells>
  <phoneticPr fontId="3" type="noConversion"/>
  <pageMargins left="0.9" right="0.75" top="0.5" bottom="0.5" header="0.25" footer="0.25"/>
  <pageSetup scale="80" firstPageNumber="62" pageOrder="overThenDown" orientation="portrait" useFirstPageNumber="1" r:id="rId1"/>
  <headerFooter scaleWithDoc="0" alignWithMargins="0"/>
  <rowBreaks count="1" manualBreakCount="1">
    <brk id="66" max="78" man="1"/>
  </rowBreaks>
  <colBreaks count="1" manualBreakCount="1"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St of Net Assets</vt:lpstr>
      <vt:lpstr>St of Act-Rev</vt:lpstr>
      <vt:lpstr>St of Act-Exp</vt:lpstr>
      <vt:lpstr>GenBS</vt:lpstr>
      <vt:lpstr>GenRev</vt:lpstr>
      <vt:lpstr>GenExp</vt:lpstr>
      <vt:lpstr>GovBS</vt:lpstr>
      <vt:lpstr>GovRev</vt:lpstr>
      <vt:lpstr>GovExp</vt:lpstr>
      <vt:lpstr>LT_Ob</vt:lpstr>
      <vt:lpstr>GenBS!Print_Area</vt:lpstr>
      <vt:lpstr>GenExp!Print_Area</vt:lpstr>
      <vt:lpstr>GenRev!Print_Area</vt:lpstr>
      <vt:lpstr>GovBS!Print_Area</vt:lpstr>
      <vt:lpstr>GovExp!Print_Area</vt:lpstr>
      <vt:lpstr>GovRev!Print_Area</vt:lpstr>
      <vt:lpstr>LT_Ob!Print_Area</vt:lpstr>
      <vt:lpstr>'St of Act-Exp'!Print_Area</vt:lpstr>
      <vt:lpstr>'St of Act-Rev'!Print_Area</vt:lpstr>
      <vt:lpstr>'St of Net Assets'!Print_Area</vt:lpstr>
      <vt:lpstr>GenBS!Print_Titles</vt:lpstr>
      <vt:lpstr>GenExp!Print_Titles</vt:lpstr>
      <vt:lpstr>GenRev!Print_Titles</vt:lpstr>
      <vt:lpstr>GovBS!Print_Titles</vt:lpstr>
      <vt:lpstr>GovExp!Print_Titles</vt:lpstr>
      <vt:lpstr>GovRev!Print_Titles</vt:lpstr>
      <vt:lpstr>LT_Ob!Print_Titles</vt:lpstr>
      <vt:lpstr>'St of Act-Exp'!Print_Titles</vt:lpstr>
      <vt:lpstr>'St of Act-Rev'!Print_Titles</vt:lpstr>
      <vt:lpstr>'St of Net Assets'!Print_Titles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Bizic</dc:creator>
  <cp:lastModifiedBy>Christopher S. McKee</cp:lastModifiedBy>
  <cp:lastPrinted>2013-04-26T17:52:25Z</cp:lastPrinted>
  <dcterms:created xsi:type="dcterms:W3CDTF">2004-12-29T15:55:54Z</dcterms:created>
  <dcterms:modified xsi:type="dcterms:W3CDTF">2013-04-26T18:25:14Z</dcterms:modified>
</cp:coreProperties>
</file>